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drawings/drawing5.xml" ContentType="application/vnd.openxmlformats-officedocument.drawingml.chartshape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style1.xml" ContentType="application/vnd.ms-office.chartstyle+xml"/>
  <Override PartName="/xl/charts/colors1.xml" ContentType="application/vnd.ms-office.chartcolorstyle+xml"/>
  <Override PartName="/xl/charts/chart24.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25.xml" ContentType="application/vnd.openxmlformats-officedocument.drawingml.chart+xml"/>
  <Override PartName="/xl/charts/style3.xml" ContentType="application/vnd.ms-office.chartstyle+xml"/>
  <Override PartName="/xl/charts/colors3.xml" ContentType="application/vnd.ms-office.chartcolorstyle+xml"/>
  <Override PartName="/xl/charts/chart26.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27.xml" ContentType="application/vnd.openxmlformats-officedocument.drawingml.chart+xml"/>
  <Override PartName="/xl/drawings/drawing3.xml" ContentType="application/vnd.openxmlformats-officedocument.drawing+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style5.xml" ContentType="application/vnd.ms-office.chartstyle+xml"/>
  <Override PartName="/xl/worksheets/sheet1.xml" ContentType="application/vnd.openxmlformats-officedocument.spreadsheetml.worksheet+xml"/>
  <Override PartName="/xl/charts/colors5.xml" ContentType="application/vnd.ms-office.chartcolorstyle+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nithh-my.sharepoint.com/personal/ravi_chaudhary_26_nithh_onmicrosoft_com/Documents/innovation and business planning 2/"/>
    </mc:Choice>
  </mc:AlternateContent>
  <xr:revisionPtr revIDLastSave="4417" documentId="8_{8FECCA32-09E6-4FC0-9D43-2566D4B21FD3}" xr6:coauthVersionLast="47" xr6:coauthVersionMax="47" xr10:uidLastSave="{37FF1673-ECE4-483D-AB57-8547C58E8047}"/>
  <bookViews>
    <workbookView xWindow="-28920" yWindow="945" windowWidth="29040" windowHeight="15720" xr2:uid="{1620CCD5-023D-49D9-8470-080E5A717B02}"/>
  </bookViews>
  <sheets>
    <sheet name="Operations" sheetId="1" r:id="rId1"/>
    <sheet name="Bottom_Up_Calculations" sheetId="7" r:id="rId2"/>
    <sheet name="Statements" sheetId="2" r:id="rId3"/>
    <sheet name="Valuation" sheetId="3" r:id="rId4"/>
    <sheet name="Cap Table" sheetId="6" r:id="rId5"/>
  </sheets>
  <definedNames>
    <definedName name="AnnualChurnPrem">Bottom_Up_Calculations!$B$11</definedName>
    <definedName name="AnnualChurnPro">Bottom_Up_Calculations!$B$9</definedName>
    <definedName name="COGSMethod">Operations!$G$455:$G$456</definedName>
    <definedName name="CompanyName">Operations!$D$16</definedName>
    <definedName name="Lead_to_Free">Bottom_Up_Calculations!$B$6</definedName>
    <definedName name="Lead_to_Prem">Bottom_Up_Calculations!$B$8</definedName>
    <definedName name="Lead_to_Pro">Bottom_Up_Calculations!$B$7</definedName>
    <definedName name="Leads_Start">Bottom_Up_Calculations!$B$4</definedName>
    <definedName name="MoM_Growth">Bottom_Up_Calculations!$B$5</definedName>
    <definedName name="Retention_Prem">Bottom_Up_Calculations!$B$12</definedName>
    <definedName name="Retention_Pro">Bottom_Up_Calculations!$B$10</definedName>
    <definedName name="StartDate">Operations!$D$17</definedName>
    <definedName name="SubHeader">Operations!$D$18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6" i="7" l="1"/>
  <c r="B16" i="7"/>
  <c r="E16" i="7" s="1"/>
  <c r="A17" i="7"/>
  <c r="B12" i="7"/>
  <c r="B10" i="7"/>
  <c r="C423" i="1"/>
  <c r="C424" i="1"/>
  <c r="C425" i="1"/>
  <c r="C426" i="1"/>
  <c r="C427" i="1"/>
  <c r="C422" i="1"/>
  <c r="S169" i="1"/>
  <c r="S219" i="1"/>
  <c r="C170" i="1"/>
  <c r="I514" i="1"/>
  <c r="L290" i="1"/>
  <c r="L287" i="1"/>
  <c r="L288" i="1"/>
  <c r="L289" i="1"/>
  <c r="L286" i="1"/>
  <c r="H287" i="1"/>
  <c r="H288" i="1"/>
  <c r="H289" i="1"/>
  <c r="H290" i="1"/>
  <c r="H286" i="1"/>
  <c r="D287" i="1"/>
  <c r="D288" i="1"/>
  <c r="D289" i="1"/>
  <c r="D290" i="1"/>
  <c r="D286" i="1"/>
  <c r="L277" i="1"/>
  <c r="L278" i="1"/>
  <c r="L279" i="1"/>
  <c r="L280" i="1"/>
  <c r="L276" i="1"/>
  <c r="H277" i="1"/>
  <c r="H278" i="1"/>
  <c r="H279" i="1"/>
  <c r="H280" i="1"/>
  <c r="H276" i="1"/>
  <c r="D277" i="1"/>
  <c r="D278" i="1"/>
  <c r="D279" i="1"/>
  <c r="D280" i="1"/>
  <c r="D276" i="1"/>
  <c r="L77" i="1"/>
  <c r="H29" i="1"/>
  <c r="D29" i="1"/>
  <c r="C7" i="3"/>
  <c r="C11" i="3"/>
  <c r="G11" i="3" s="1"/>
  <c r="C10" i="3"/>
  <c r="G10" i="3" s="1"/>
  <c r="E8" i="3"/>
  <c r="G8" i="3" s="1"/>
  <c r="C9" i="3"/>
  <c r="E9" i="3"/>
  <c r="G9" i="3" s="1"/>
  <c r="D9" i="3"/>
  <c r="D8" i="3"/>
  <c r="F8" i="3" s="1"/>
  <c r="F7" i="3"/>
  <c r="C581" i="1"/>
  <c r="C582" i="1"/>
  <c r="C580" i="1"/>
  <c r="Y168" i="2"/>
  <c r="X168" i="2"/>
  <c r="W168" i="2"/>
  <c r="V168" i="2"/>
  <c r="U168" i="2"/>
  <c r="T168" i="2"/>
  <c r="S168" i="2"/>
  <c r="R149" i="2"/>
  <c r="A18" i="7" l="1"/>
  <c r="B17" i="7"/>
  <c r="D17" i="7" s="1"/>
  <c r="C16" i="7"/>
  <c r="D16" i="7"/>
  <c r="L16" i="7"/>
  <c r="F10" i="3"/>
  <c r="F11" i="3"/>
  <c r="F9" i="3"/>
  <c r="G7" i="3"/>
  <c r="H29" i="3" s="1"/>
  <c r="D67" i="6"/>
  <c r="D65" i="6" s="1"/>
  <c r="E11" i="6"/>
  <c r="H8" i="6"/>
  <c r="D83" i="6"/>
  <c r="E39" i="6"/>
  <c r="F39" i="6"/>
  <c r="G39" i="6"/>
  <c r="H39" i="6"/>
  <c r="I39" i="6"/>
  <c r="D39" i="6"/>
  <c r="E30" i="6"/>
  <c r="F30" i="6" s="1"/>
  <c r="G30" i="6" s="1"/>
  <c r="H30" i="6" s="1"/>
  <c r="I30" i="6" s="1"/>
  <c r="E29" i="6"/>
  <c r="F29" i="6" s="1"/>
  <c r="G29" i="6" s="1"/>
  <c r="H29" i="6" s="1"/>
  <c r="I29" i="6" s="1"/>
  <c r="E28" i="6"/>
  <c r="F28" i="6" s="1"/>
  <c r="G28" i="6" s="1"/>
  <c r="H28" i="6" s="1"/>
  <c r="I28" i="6" s="1"/>
  <c r="E27" i="6"/>
  <c r="F27" i="6" s="1"/>
  <c r="G27" i="6" s="1"/>
  <c r="H27" i="6" s="1"/>
  <c r="I27" i="6" s="1"/>
  <c r="E26" i="6"/>
  <c r="F26" i="6" s="1"/>
  <c r="G26" i="6" s="1"/>
  <c r="D25" i="6"/>
  <c r="D32" i="6"/>
  <c r="I10" i="6"/>
  <c r="I15" i="6" s="1"/>
  <c r="H10" i="6"/>
  <c r="H15" i="6" s="1"/>
  <c r="G10" i="6"/>
  <c r="G15" i="6" s="1"/>
  <c r="F10" i="6"/>
  <c r="F15" i="6" s="1"/>
  <c r="E10" i="6"/>
  <c r="E15" i="6" s="1"/>
  <c r="J48" i="3" l="1"/>
  <c r="B18" i="7"/>
  <c r="E17" i="7"/>
  <c r="C17" i="7"/>
  <c r="A19" i="7"/>
  <c r="K16" i="7"/>
  <c r="J16" i="7"/>
  <c r="H28" i="3"/>
  <c r="J47" i="3"/>
  <c r="E12" i="6"/>
  <c r="E83" i="6" s="1"/>
  <c r="D84" i="6"/>
  <c r="D23" i="6"/>
  <c r="D60" i="6" s="1"/>
  <c r="E25" i="6"/>
  <c r="H26" i="6"/>
  <c r="G25" i="6"/>
  <c r="F25" i="6"/>
  <c r="J17" i="7" l="1"/>
  <c r="B19" i="7"/>
  <c r="E18" i="7"/>
  <c r="C18" i="7"/>
  <c r="D18" i="7"/>
  <c r="A20" i="7"/>
  <c r="E9" i="6"/>
  <c r="D55" i="6"/>
  <c r="D51" i="6"/>
  <c r="D56" i="6"/>
  <c r="D47" i="6"/>
  <c r="D48" i="6"/>
  <c r="D49" i="6"/>
  <c r="D50" i="6"/>
  <c r="D57" i="6"/>
  <c r="D54" i="6"/>
  <c r="D53" i="6" s="1"/>
  <c r="D58" i="6"/>
  <c r="H25" i="6"/>
  <c r="I26" i="6"/>
  <c r="J18" i="7" l="1"/>
  <c r="A21" i="7"/>
  <c r="B20" i="7"/>
  <c r="D19" i="7"/>
  <c r="C19" i="7"/>
  <c r="E19" i="7"/>
  <c r="E8" i="6"/>
  <c r="E13" i="6" s="1"/>
  <c r="E33" i="6" s="1"/>
  <c r="D46" i="6"/>
  <c r="D44" i="6" s="1"/>
  <c r="I25" i="6"/>
  <c r="A22" i="7" l="1"/>
  <c r="J19" i="7"/>
  <c r="B21" i="7"/>
  <c r="D20" i="7"/>
  <c r="E20" i="7"/>
  <c r="C20" i="7"/>
  <c r="E32" i="6"/>
  <c r="E23" i="6" s="1"/>
  <c r="E47" i="6" s="1"/>
  <c r="E68" i="6" s="1"/>
  <c r="F33" i="6"/>
  <c r="G33" i="6" s="1"/>
  <c r="H33" i="6" s="1"/>
  <c r="B22" i="7" l="1"/>
  <c r="D21" i="7"/>
  <c r="E21" i="7"/>
  <c r="C21" i="7"/>
  <c r="A23" i="7"/>
  <c r="J20" i="7"/>
  <c r="J21" i="7" s="1"/>
  <c r="E58" i="6"/>
  <c r="E79" i="6" s="1"/>
  <c r="E60" i="6"/>
  <c r="E81" i="6" s="1"/>
  <c r="E54" i="6"/>
  <c r="E75" i="6" s="1"/>
  <c r="E51" i="6"/>
  <c r="E72" i="6" s="1"/>
  <c r="E48" i="6"/>
  <c r="E69" i="6" s="1"/>
  <c r="E49" i="6"/>
  <c r="E70" i="6" s="1"/>
  <c r="E84" i="6"/>
  <c r="E57" i="6"/>
  <c r="E78" i="6" s="1"/>
  <c r="E55" i="6"/>
  <c r="E76" i="6" s="1"/>
  <c r="E50" i="6"/>
  <c r="E71" i="6" s="1"/>
  <c r="E56" i="6"/>
  <c r="E77" i="6" s="1"/>
  <c r="I33" i="6"/>
  <c r="A24" i="7" l="1"/>
  <c r="B23" i="7"/>
  <c r="D22" i="7"/>
  <c r="C22" i="7"/>
  <c r="E22" i="7"/>
  <c r="E67" i="6"/>
  <c r="E74" i="6"/>
  <c r="E46" i="6"/>
  <c r="E53" i="6"/>
  <c r="H13" i="6"/>
  <c r="H36" i="6" s="1"/>
  <c r="B24" i="7" l="1"/>
  <c r="C23" i="7"/>
  <c r="E23" i="7"/>
  <c r="D23" i="7"/>
  <c r="J22" i="7"/>
  <c r="J23" i="7" s="1"/>
  <c r="A25" i="7"/>
  <c r="E44" i="6"/>
  <c r="E65" i="6"/>
  <c r="I36" i="6"/>
  <c r="A26" i="7" l="1"/>
  <c r="B25" i="7"/>
  <c r="C24" i="7"/>
  <c r="J24" i="7" s="1"/>
  <c r="D24" i="7"/>
  <c r="E24" i="7"/>
  <c r="G14" i="3"/>
  <c r="F14" i="3"/>
  <c r="E14" i="3"/>
  <c r="D14" i="3"/>
  <c r="C14" i="3"/>
  <c r="M47" i="3"/>
  <c r="G13" i="3"/>
  <c r="F13" i="3"/>
  <c r="E13" i="3"/>
  <c r="D13" i="3"/>
  <c r="C13" i="3"/>
  <c r="A27" i="7" l="1"/>
  <c r="B26" i="7"/>
  <c r="E25" i="7"/>
  <c r="C25" i="7"/>
  <c r="J25" i="7" s="1"/>
  <c r="D25" i="7"/>
  <c r="J50" i="3"/>
  <c r="J51" i="3" s="1"/>
  <c r="H31" i="3"/>
  <c r="H32" i="3" s="1"/>
  <c r="C30" i="3" s="1"/>
  <c r="J49" i="3"/>
  <c r="H30" i="3"/>
  <c r="D54" i="3"/>
  <c r="B27" i="7" l="1"/>
  <c r="E26" i="7"/>
  <c r="C26" i="7"/>
  <c r="J26" i="7" s="1"/>
  <c r="D26" i="7"/>
  <c r="A28" i="7"/>
  <c r="H54" i="3"/>
  <c r="E54" i="3"/>
  <c r="C54" i="3"/>
  <c r="G54" i="3"/>
  <c r="F54" i="3"/>
  <c r="B28" i="7" l="1"/>
  <c r="E27" i="7"/>
  <c r="D27" i="7"/>
  <c r="C27" i="7"/>
  <c r="J27" i="7" s="1"/>
  <c r="A29" i="7"/>
  <c r="G28" i="7"/>
  <c r="F28" i="7"/>
  <c r="U346" i="1"/>
  <c r="T346" i="1"/>
  <c r="R141" i="2"/>
  <c r="R140" i="2"/>
  <c r="R139" i="2"/>
  <c r="R138" i="2"/>
  <c r="R137" i="2"/>
  <c r="C136" i="2"/>
  <c r="D136" i="2" s="1"/>
  <c r="E136" i="2" s="1"/>
  <c r="F136" i="2" s="1"/>
  <c r="G136" i="2" s="1"/>
  <c r="B131" i="2"/>
  <c r="A30" i="7" l="1"/>
  <c r="F29" i="7"/>
  <c r="G29" i="7"/>
  <c r="B29" i="7"/>
  <c r="D28" i="7"/>
  <c r="C28" i="7"/>
  <c r="J28" i="7" s="1"/>
  <c r="E28" i="7"/>
  <c r="S136" i="2"/>
  <c r="S158" i="2" s="1"/>
  <c r="C49" i="3" s="1"/>
  <c r="T136" i="2"/>
  <c r="T158" i="2" s="1"/>
  <c r="D49" i="3" s="1"/>
  <c r="H136" i="2"/>
  <c r="I136" i="2" s="1"/>
  <c r="J136" i="2" s="1"/>
  <c r="L136" i="2" s="1"/>
  <c r="I28" i="7" l="1"/>
  <c r="H28" i="7"/>
  <c r="A31" i="7"/>
  <c r="G30" i="7"/>
  <c r="F30" i="7"/>
  <c r="B30" i="7"/>
  <c r="D29" i="7"/>
  <c r="E29" i="7"/>
  <c r="C29" i="7"/>
  <c r="J29" i="7" s="1"/>
  <c r="M136" i="2"/>
  <c r="U136" i="2"/>
  <c r="U158" i="2" s="1"/>
  <c r="E49" i="3" s="1"/>
  <c r="I29" i="7" l="1"/>
  <c r="A32" i="7"/>
  <c r="G31" i="7"/>
  <c r="F31" i="7"/>
  <c r="H29" i="7"/>
  <c r="B31" i="7"/>
  <c r="D30" i="7"/>
  <c r="C30" i="7"/>
  <c r="J30" i="7" s="1"/>
  <c r="E30" i="7"/>
  <c r="I30" i="7" s="1"/>
  <c r="V136" i="2"/>
  <c r="V158" i="2" s="1"/>
  <c r="F49" i="3" s="1"/>
  <c r="N136" i="2"/>
  <c r="H30" i="7" l="1"/>
  <c r="B32" i="7"/>
  <c r="C31" i="7"/>
  <c r="J31" i="7" s="1"/>
  <c r="E31" i="7"/>
  <c r="D31" i="7"/>
  <c r="H31" i="7" s="1"/>
  <c r="A33" i="7"/>
  <c r="F32" i="7"/>
  <c r="G32" i="7"/>
  <c r="W136" i="2"/>
  <c r="W158" i="2" s="1"/>
  <c r="G49" i="3" s="1"/>
  <c r="O136" i="2"/>
  <c r="X136" i="2" s="1"/>
  <c r="X158" i="2" s="1"/>
  <c r="H49" i="3" s="1"/>
  <c r="C28" i="3" s="1"/>
  <c r="B33" i="7" l="1"/>
  <c r="E32" i="7"/>
  <c r="C32" i="7"/>
  <c r="J32" i="7" s="1"/>
  <c r="D32" i="7"/>
  <c r="I32" i="7"/>
  <c r="A34" i="7"/>
  <c r="F33" i="7"/>
  <c r="G33" i="7"/>
  <c r="I31" i="7"/>
  <c r="B123" i="2"/>
  <c r="R123" i="2" s="1"/>
  <c r="B118" i="2"/>
  <c r="R118" i="2" s="1"/>
  <c r="B117" i="2"/>
  <c r="R117" i="2" s="1"/>
  <c r="R125" i="2"/>
  <c r="R124" i="2"/>
  <c r="R122" i="2"/>
  <c r="R121" i="2"/>
  <c r="R119" i="2"/>
  <c r="R116" i="2"/>
  <c r="R115" i="2"/>
  <c r="R114" i="2"/>
  <c r="R113" i="2"/>
  <c r="C111" i="2"/>
  <c r="S111" i="2" s="1"/>
  <c r="B105" i="2"/>
  <c r="R104" i="2"/>
  <c r="R101" i="2"/>
  <c r="R100" i="2"/>
  <c r="R98" i="2"/>
  <c r="R97" i="2"/>
  <c r="R95" i="2"/>
  <c r="R94" i="2"/>
  <c r="R92" i="2"/>
  <c r="R91" i="2"/>
  <c r="R89" i="2"/>
  <c r="R88" i="2"/>
  <c r="R87" i="2"/>
  <c r="R86" i="2"/>
  <c r="C84" i="2"/>
  <c r="S84" i="2" s="1"/>
  <c r="B78" i="2"/>
  <c r="R77" i="2"/>
  <c r="AC3" i="2"/>
  <c r="M32" i="2"/>
  <c r="W32" i="2" s="1"/>
  <c r="B18" i="2"/>
  <c r="R18" i="2" s="1"/>
  <c r="R38" i="2"/>
  <c r="R36" i="2"/>
  <c r="AC27" i="2" s="1"/>
  <c r="R34" i="2"/>
  <c r="R33" i="2"/>
  <c r="R32" i="2"/>
  <c r="R31" i="2"/>
  <c r="R30" i="2"/>
  <c r="R28" i="2"/>
  <c r="R27" i="2"/>
  <c r="R26" i="2"/>
  <c r="R25" i="2"/>
  <c r="Y24" i="2"/>
  <c r="X24" i="2"/>
  <c r="W24" i="2"/>
  <c r="V24" i="2"/>
  <c r="U24" i="2"/>
  <c r="T24" i="2"/>
  <c r="R24" i="2"/>
  <c r="R23" i="2"/>
  <c r="R22" i="2"/>
  <c r="R20" i="2"/>
  <c r="R19" i="2"/>
  <c r="R17" i="2"/>
  <c r="R16" i="2"/>
  <c r="R15" i="2"/>
  <c r="R14" i="2"/>
  <c r="T12" i="2"/>
  <c r="R12" i="2"/>
  <c r="C10" i="2"/>
  <c r="T10" i="2" s="1"/>
  <c r="B4" i="2"/>
  <c r="R3" i="2"/>
  <c r="P608" i="1"/>
  <c r="O33" i="2" s="1"/>
  <c r="O608" i="1"/>
  <c r="N33" i="2" s="1"/>
  <c r="N608" i="1"/>
  <c r="M33" i="2" s="1"/>
  <c r="M608" i="1"/>
  <c r="L33" i="2" s="1"/>
  <c r="K608" i="1"/>
  <c r="J33" i="2" s="1"/>
  <c r="J608" i="1"/>
  <c r="I33" i="2" s="1"/>
  <c r="I97" i="2" s="1"/>
  <c r="I608" i="1"/>
  <c r="H33" i="2" s="1"/>
  <c r="H97" i="2" s="1"/>
  <c r="H608" i="1"/>
  <c r="G33" i="2" s="1"/>
  <c r="G97" i="2" s="1"/>
  <c r="G608" i="1"/>
  <c r="F33" i="2" s="1"/>
  <c r="F97" i="2" s="1"/>
  <c r="F608" i="1"/>
  <c r="E33" i="2" s="1"/>
  <c r="E97" i="2" s="1"/>
  <c r="E608" i="1"/>
  <c r="D33" i="2" s="1"/>
  <c r="D97" i="2" s="1"/>
  <c r="D608" i="1"/>
  <c r="C33" i="2" s="1"/>
  <c r="C607" i="1"/>
  <c r="C606" i="1"/>
  <c r="C605" i="1"/>
  <c r="C604" i="1"/>
  <c r="C603" i="1"/>
  <c r="D602" i="1"/>
  <c r="E602" i="1" s="1"/>
  <c r="F602" i="1" s="1"/>
  <c r="G602" i="1" s="1"/>
  <c r="H602" i="1" s="1"/>
  <c r="I602" i="1" s="1"/>
  <c r="J602" i="1" s="1"/>
  <c r="K602" i="1" s="1"/>
  <c r="M602" i="1" s="1"/>
  <c r="N602" i="1" s="1"/>
  <c r="O602" i="1" s="1"/>
  <c r="P602" i="1" s="1"/>
  <c r="M600" i="1"/>
  <c r="D600" i="1"/>
  <c r="C594" i="1"/>
  <c r="C593" i="1"/>
  <c r="C592" i="1"/>
  <c r="C591" i="1"/>
  <c r="C590" i="1"/>
  <c r="D589" i="1"/>
  <c r="E589" i="1" s="1"/>
  <c r="M587" i="1"/>
  <c r="D587" i="1"/>
  <c r="C579" i="1"/>
  <c r="C578" i="1"/>
  <c r="C577" i="1"/>
  <c r="C576" i="1"/>
  <c r="C575" i="1"/>
  <c r="D574" i="1"/>
  <c r="E574" i="1" s="1"/>
  <c r="F574" i="1" s="1"/>
  <c r="G574" i="1" s="1"/>
  <c r="H574" i="1" s="1"/>
  <c r="I574" i="1" s="1"/>
  <c r="J574" i="1" s="1"/>
  <c r="K574" i="1" s="1"/>
  <c r="M574" i="1" s="1"/>
  <c r="N574" i="1" s="1"/>
  <c r="O574" i="1" s="1"/>
  <c r="P574" i="1" s="1"/>
  <c r="P582" i="1" s="1"/>
  <c r="M572" i="1"/>
  <c r="D572" i="1"/>
  <c r="C548" i="1"/>
  <c r="D526" i="1"/>
  <c r="N516" i="1"/>
  <c r="O516" i="1" s="1"/>
  <c r="I516" i="1"/>
  <c r="J516" i="1" s="1"/>
  <c r="K516" i="1" s="1"/>
  <c r="N515" i="1"/>
  <c r="O515" i="1" s="1"/>
  <c r="P515" i="1" s="1"/>
  <c r="I515" i="1"/>
  <c r="J515" i="1" s="1"/>
  <c r="K515" i="1" s="1"/>
  <c r="N514" i="1"/>
  <c r="O514" i="1" s="1"/>
  <c r="P514" i="1" s="1"/>
  <c r="D512" i="1"/>
  <c r="E512" i="1" s="1"/>
  <c r="F512" i="1" s="1"/>
  <c r="G512" i="1" s="1"/>
  <c r="H512" i="1" s="1"/>
  <c r="I512" i="1" s="1"/>
  <c r="J512" i="1" s="1"/>
  <c r="K512" i="1" s="1"/>
  <c r="M512" i="1" s="1"/>
  <c r="N512" i="1" s="1"/>
  <c r="O512" i="1" s="1"/>
  <c r="P512" i="1" s="1"/>
  <c r="C503" i="1"/>
  <c r="S479" i="1"/>
  <c r="S478" i="1"/>
  <c r="S477" i="1"/>
  <c r="D460" i="1"/>
  <c r="T476" i="1" s="1"/>
  <c r="M458" i="1"/>
  <c r="D458" i="1"/>
  <c r="C454" i="1"/>
  <c r="S453" i="1"/>
  <c r="D436" i="1"/>
  <c r="T437" i="1" s="1"/>
  <c r="S433" i="1"/>
  <c r="S429" i="1"/>
  <c r="S428" i="1"/>
  <c r="S427" i="1"/>
  <c r="S426" i="1"/>
  <c r="S425" i="1"/>
  <c r="S424" i="1"/>
  <c r="S423" i="1"/>
  <c r="C421" i="1"/>
  <c r="S422" i="1" s="1"/>
  <c r="C420" i="1"/>
  <c r="S421" i="1" s="1"/>
  <c r="C419" i="1"/>
  <c r="S420" i="1" s="1"/>
  <c r="D418" i="1"/>
  <c r="T419" i="1" s="1"/>
  <c r="S415" i="1"/>
  <c r="C411" i="1"/>
  <c r="C447" i="1" s="1"/>
  <c r="C410" i="1"/>
  <c r="C446" i="1" s="1"/>
  <c r="S447" i="1" s="1"/>
  <c r="D400" i="1"/>
  <c r="E400" i="1" s="1"/>
  <c r="F400" i="1" s="1"/>
  <c r="G400" i="1" s="1"/>
  <c r="H400" i="1" s="1"/>
  <c r="S397" i="1"/>
  <c r="C380" i="1"/>
  <c r="AB379" i="1"/>
  <c r="S379" i="1"/>
  <c r="S354" i="1"/>
  <c r="Y346" i="1"/>
  <c r="X346" i="1"/>
  <c r="W346" i="1"/>
  <c r="V346" i="1"/>
  <c r="S346" i="1"/>
  <c r="C346" i="1"/>
  <c r="S353" i="1" s="1"/>
  <c r="C345" i="1"/>
  <c r="S352" i="1" s="1"/>
  <c r="C344" i="1"/>
  <c r="S351" i="1" s="1"/>
  <c r="C343" i="1"/>
  <c r="S350" i="1" s="1"/>
  <c r="C342" i="1"/>
  <c r="S349" i="1" s="1"/>
  <c r="C341" i="1"/>
  <c r="S348" i="1" s="1"/>
  <c r="C340" i="1"/>
  <c r="S347" i="1" s="1"/>
  <c r="D338" i="1"/>
  <c r="T345" i="1" s="1"/>
  <c r="C322" i="1"/>
  <c r="S321" i="1"/>
  <c r="D311" i="1"/>
  <c r="T294" i="1" s="1"/>
  <c r="P305" i="1"/>
  <c r="O305" i="1"/>
  <c r="N305" i="1"/>
  <c r="M305" i="1"/>
  <c r="K305" i="1"/>
  <c r="J305" i="1"/>
  <c r="I305" i="1"/>
  <c r="H305" i="1"/>
  <c r="G305" i="1"/>
  <c r="F305" i="1"/>
  <c r="E305" i="1"/>
  <c r="D305" i="1"/>
  <c r="C304" i="1"/>
  <c r="C317" i="1" s="1"/>
  <c r="S300" i="1" s="1"/>
  <c r="C303" i="1"/>
  <c r="C316" i="1" s="1"/>
  <c r="S299" i="1" s="1"/>
  <c r="C302" i="1"/>
  <c r="C315" i="1" s="1"/>
  <c r="S298" i="1" s="1"/>
  <c r="C301" i="1"/>
  <c r="C314" i="1" s="1"/>
  <c r="S297" i="1" s="1"/>
  <c r="C300" i="1"/>
  <c r="C313" i="1" s="1"/>
  <c r="S296" i="1" s="1"/>
  <c r="C299" i="1"/>
  <c r="C312" i="1" s="1"/>
  <c r="S295" i="1" s="1"/>
  <c r="D298" i="1"/>
  <c r="E298" i="1" s="1"/>
  <c r="F298" i="1" s="1"/>
  <c r="G298" i="1" s="1"/>
  <c r="H298" i="1" s="1"/>
  <c r="I298" i="1" s="1"/>
  <c r="J298" i="1" s="1"/>
  <c r="K298" i="1" s="1"/>
  <c r="M298" i="1" s="1"/>
  <c r="N298" i="1" s="1"/>
  <c r="O298" i="1" s="1"/>
  <c r="P298" i="1" s="1"/>
  <c r="C273" i="1"/>
  <c r="C271" i="1"/>
  <c r="S270" i="1"/>
  <c r="AC28" i="2" l="1"/>
  <c r="AC55" i="2"/>
  <c r="H32" i="7"/>
  <c r="B34" i="7"/>
  <c r="C33" i="7"/>
  <c r="J33" i="7" s="1"/>
  <c r="E33" i="7"/>
  <c r="D33" i="7"/>
  <c r="A35" i="7"/>
  <c r="G34" i="7"/>
  <c r="F34" i="7"/>
  <c r="AC54" i="2"/>
  <c r="E526" i="1"/>
  <c r="F526" i="1" s="1"/>
  <c r="G526" i="1" s="1"/>
  <c r="H526" i="1" s="1"/>
  <c r="E552" i="1"/>
  <c r="E6" i="6" s="1"/>
  <c r="C407" i="1"/>
  <c r="C443" i="1" s="1"/>
  <c r="S444" i="1" s="1"/>
  <c r="AD53" i="2"/>
  <c r="C403" i="1"/>
  <c r="C439" i="1" s="1"/>
  <c r="S440" i="1" s="1"/>
  <c r="F581" i="1"/>
  <c r="D10" i="2"/>
  <c r="E10" i="2" s="1"/>
  <c r="F10" i="2" s="1"/>
  <c r="G10" i="2" s="1"/>
  <c r="AE26" i="2" s="1"/>
  <c r="E582" i="1"/>
  <c r="D111" i="2"/>
  <c r="E111" i="2" s="1"/>
  <c r="F111" i="2" s="1"/>
  <c r="G111" i="2" s="1"/>
  <c r="V33" i="2"/>
  <c r="L97" i="2"/>
  <c r="U97" i="2" s="1"/>
  <c r="C97" i="2"/>
  <c r="S97" i="2" s="1"/>
  <c r="T33" i="2"/>
  <c r="N97" i="2"/>
  <c r="W97" i="2" s="1"/>
  <c r="X33" i="2"/>
  <c r="O97" i="2"/>
  <c r="X97" i="2" s="1"/>
  <c r="Y33" i="2"/>
  <c r="M97" i="2"/>
  <c r="V97" i="2" s="1"/>
  <c r="W33" i="2"/>
  <c r="U33" i="2"/>
  <c r="J97" i="2"/>
  <c r="T97" i="2" s="1"/>
  <c r="D582" i="1"/>
  <c r="I581" i="1"/>
  <c r="P581" i="1"/>
  <c r="H581" i="1"/>
  <c r="O582" i="1"/>
  <c r="G582" i="1"/>
  <c r="N582" i="1"/>
  <c r="AD26" i="2"/>
  <c r="F582" i="1"/>
  <c r="D84" i="2"/>
  <c r="E84" i="2" s="1"/>
  <c r="F84" i="2" s="1"/>
  <c r="G84" i="2" s="1"/>
  <c r="F589" i="1"/>
  <c r="E590" i="1" s="1"/>
  <c r="D590" i="1"/>
  <c r="D593" i="1"/>
  <c r="E575" i="1"/>
  <c r="E581" i="1"/>
  <c r="G581" i="1"/>
  <c r="D594" i="1"/>
  <c r="C401" i="1"/>
  <c r="C437" i="1" s="1"/>
  <c r="S438" i="1" s="1"/>
  <c r="D581" i="1"/>
  <c r="K582" i="1"/>
  <c r="O575" i="1"/>
  <c r="D592" i="1"/>
  <c r="J582" i="1"/>
  <c r="D591" i="1"/>
  <c r="K581" i="1"/>
  <c r="I582" i="1"/>
  <c r="M582" i="1"/>
  <c r="O581" i="1"/>
  <c r="J581" i="1"/>
  <c r="H582" i="1"/>
  <c r="M581" i="1"/>
  <c r="N581" i="1"/>
  <c r="C409" i="1"/>
  <c r="C445" i="1" s="1"/>
  <c r="S446" i="1" s="1"/>
  <c r="T401" i="1"/>
  <c r="D341" i="1"/>
  <c r="C402" i="1"/>
  <c r="C438" i="1" s="1"/>
  <c r="S439" i="1" s="1"/>
  <c r="C404" i="1"/>
  <c r="C440" i="1" s="1"/>
  <c r="S441" i="1" s="1"/>
  <c r="C405" i="1"/>
  <c r="C441" i="1" s="1"/>
  <c r="S442" i="1" s="1"/>
  <c r="C406" i="1"/>
  <c r="C442" i="1" s="1"/>
  <c r="S443" i="1" s="1"/>
  <c r="C408" i="1"/>
  <c r="C444" i="1" s="1"/>
  <c r="S445" i="1" s="1"/>
  <c r="P516" i="1"/>
  <c r="J514" i="1"/>
  <c r="E460" i="1"/>
  <c r="F460" i="1" s="1"/>
  <c r="G460" i="1" s="1"/>
  <c r="H460" i="1" s="1"/>
  <c r="D340" i="1"/>
  <c r="D345" i="1"/>
  <c r="E436" i="1"/>
  <c r="F436" i="1" s="1"/>
  <c r="G436" i="1" s="1"/>
  <c r="H436" i="1" s="1"/>
  <c r="D346" i="1"/>
  <c r="D344" i="1"/>
  <c r="E418" i="1"/>
  <c r="D343" i="1"/>
  <c r="D342" i="1"/>
  <c r="U401" i="1"/>
  <c r="I400" i="1"/>
  <c r="J400" i="1" s="1"/>
  <c r="K400" i="1" s="1"/>
  <c r="M400" i="1" s="1"/>
  <c r="S411" i="1"/>
  <c r="E338" i="1"/>
  <c r="D281" i="1"/>
  <c r="J312" i="1" s="1"/>
  <c r="D291" i="1"/>
  <c r="E315" i="1" s="1"/>
  <c r="H291" i="1"/>
  <c r="H281" i="1"/>
  <c r="L281" i="1"/>
  <c r="L291" i="1"/>
  <c r="E311" i="1"/>
  <c r="F311" i="1" s="1"/>
  <c r="G311" i="1" s="1"/>
  <c r="H311" i="1" s="1"/>
  <c r="D575" i="1" l="1"/>
  <c r="I33" i="7"/>
  <c r="B35" i="7"/>
  <c r="E34" i="7"/>
  <c r="D34" i="7"/>
  <c r="C34" i="7"/>
  <c r="J34" i="7" s="1"/>
  <c r="H33" i="7"/>
  <c r="A36" i="7"/>
  <c r="F35" i="7"/>
  <c r="G35" i="7"/>
  <c r="S408" i="1"/>
  <c r="F575" i="1"/>
  <c r="H575" i="1"/>
  <c r="J575" i="1"/>
  <c r="G575" i="1"/>
  <c r="N575" i="1"/>
  <c r="P575" i="1"/>
  <c r="I575" i="1"/>
  <c r="S404" i="1"/>
  <c r="M575" i="1"/>
  <c r="K575" i="1"/>
  <c r="I526" i="1"/>
  <c r="J526" i="1" s="1"/>
  <c r="K526" i="1" s="1"/>
  <c r="M526" i="1" s="1"/>
  <c r="E553" i="1"/>
  <c r="E594" i="1"/>
  <c r="S406" i="1"/>
  <c r="E592" i="1"/>
  <c r="S403" i="1"/>
  <c r="H10" i="2"/>
  <c r="I10" i="2" s="1"/>
  <c r="J10" i="2" s="1"/>
  <c r="L10" i="2" s="1"/>
  <c r="AF26" i="2" s="1"/>
  <c r="U10" i="2"/>
  <c r="E593" i="1"/>
  <c r="E591" i="1"/>
  <c r="S402" i="1"/>
  <c r="T111" i="2"/>
  <c r="H111" i="2"/>
  <c r="I111" i="2" s="1"/>
  <c r="J111" i="2" s="1"/>
  <c r="L111" i="2" s="1"/>
  <c r="T84" i="2"/>
  <c r="H84" i="2"/>
  <c r="I84" i="2" s="1"/>
  <c r="J84" i="2" s="1"/>
  <c r="L84" i="2" s="1"/>
  <c r="D595" i="1"/>
  <c r="G589" i="1"/>
  <c r="F592" i="1" s="1"/>
  <c r="G315" i="1"/>
  <c r="O315" i="1"/>
  <c r="X298" i="1" s="1"/>
  <c r="S409" i="1"/>
  <c r="P315" i="1"/>
  <c r="Y298" i="1" s="1"/>
  <c r="H315" i="1"/>
  <c r="S410" i="1"/>
  <c r="K315" i="1"/>
  <c r="M315" i="1"/>
  <c r="V298" i="1" s="1"/>
  <c r="S407" i="1"/>
  <c r="S405" i="1"/>
  <c r="D347" i="1"/>
  <c r="K514" i="1"/>
  <c r="U476" i="1"/>
  <c r="I460" i="1"/>
  <c r="J460" i="1" s="1"/>
  <c r="K460" i="1" s="1"/>
  <c r="M460" i="1" s="1"/>
  <c r="F418" i="1"/>
  <c r="E428" i="1" s="1"/>
  <c r="D429" i="1"/>
  <c r="D447" i="1" s="1"/>
  <c r="D420" i="1"/>
  <c r="D421" i="1"/>
  <c r="D426" i="1"/>
  <c r="D428" i="1"/>
  <c r="D427" i="1"/>
  <c r="D419" i="1"/>
  <c r="I436" i="1"/>
  <c r="J436" i="1" s="1"/>
  <c r="K436" i="1" s="1"/>
  <c r="M436" i="1" s="1"/>
  <c r="U437" i="1"/>
  <c r="D425" i="1"/>
  <c r="D423" i="1"/>
  <c r="D424" i="1"/>
  <c r="D422" i="1"/>
  <c r="I312" i="1"/>
  <c r="G312" i="1"/>
  <c r="O312" i="1"/>
  <c r="X295" i="1" s="1"/>
  <c r="D312" i="1"/>
  <c r="H312" i="1"/>
  <c r="N312" i="1"/>
  <c r="W295" i="1" s="1"/>
  <c r="M312" i="1"/>
  <c r="V295" i="1" s="1"/>
  <c r="P312" i="1"/>
  <c r="Y295" i="1" s="1"/>
  <c r="E312" i="1"/>
  <c r="N400" i="1"/>
  <c r="V401" i="1"/>
  <c r="F338" i="1"/>
  <c r="E341" i="1"/>
  <c r="E345" i="1"/>
  <c r="E342" i="1"/>
  <c r="E343" i="1"/>
  <c r="E344" i="1"/>
  <c r="E346" i="1"/>
  <c r="E340" i="1"/>
  <c r="J315" i="1"/>
  <c r="F315" i="1"/>
  <c r="I315" i="1"/>
  <c r="D315" i="1"/>
  <c r="N315" i="1"/>
  <c r="W298" i="1" s="1"/>
  <c r="K312" i="1"/>
  <c r="F312" i="1"/>
  <c r="M316" i="1"/>
  <c r="V299" i="1" s="1"/>
  <c r="D316" i="1"/>
  <c r="N316" i="1"/>
  <c r="W299" i="1" s="1"/>
  <c r="J316" i="1"/>
  <c r="K316" i="1"/>
  <c r="E316" i="1"/>
  <c r="I316" i="1"/>
  <c r="F316" i="1"/>
  <c r="G316" i="1"/>
  <c r="P316" i="1"/>
  <c r="Y299" i="1" s="1"/>
  <c r="H316" i="1"/>
  <c r="O316" i="1"/>
  <c r="X299" i="1" s="1"/>
  <c r="M314" i="1"/>
  <c r="V297" i="1" s="1"/>
  <c r="E314" i="1"/>
  <c r="O314" i="1"/>
  <c r="X297" i="1" s="1"/>
  <c r="F314" i="1"/>
  <c r="N314" i="1"/>
  <c r="W297" i="1" s="1"/>
  <c r="G314" i="1"/>
  <c r="J314" i="1"/>
  <c r="P314" i="1"/>
  <c r="Y297" i="1" s="1"/>
  <c r="H314" i="1"/>
  <c r="K314" i="1"/>
  <c r="I314" i="1"/>
  <c r="D314" i="1"/>
  <c r="N317" i="1"/>
  <c r="W300" i="1" s="1"/>
  <c r="D317" i="1"/>
  <c r="O317" i="1"/>
  <c r="X300" i="1" s="1"/>
  <c r="E317" i="1"/>
  <c r="J317" i="1"/>
  <c r="P317" i="1"/>
  <c r="Y300" i="1" s="1"/>
  <c r="F317" i="1"/>
  <c r="M317" i="1"/>
  <c r="V300" i="1" s="1"/>
  <c r="G317" i="1"/>
  <c r="I317" i="1"/>
  <c r="K317" i="1"/>
  <c r="H317" i="1"/>
  <c r="N313" i="1"/>
  <c r="W296" i="1" s="1"/>
  <c r="F313" i="1"/>
  <c r="O313" i="1"/>
  <c r="M313" i="1"/>
  <c r="G313" i="1"/>
  <c r="P313" i="1"/>
  <c r="Y296" i="1" s="1"/>
  <c r="H313" i="1"/>
  <c r="E313" i="1"/>
  <c r="I313" i="1"/>
  <c r="J313" i="1"/>
  <c r="K313" i="1"/>
  <c r="D313" i="1"/>
  <c r="I311" i="1"/>
  <c r="J311" i="1" s="1"/>
  <c r="K311" i="1" s="1"/>
  <c r="M311" i="1" s="1"/>
  <c r="U294" i="1"/>
  <c r="I34" i="7" l="1"/>
  <c r="B36" i="7"/>
  <c r="C35" i="7"/>
  <c r="J35" i="7" s="1"/>
  <c r="D35" i="7"/>
  <c r="E35" i="7"/>
  <c r="A37" i="7"/>
  <c r="G36" i="7"/>
  <c r="F36" i="7"/>
  <c r="H34" i="7"/>
  <c r="F6" i="6"/>
  <c r="O576" i="1"/>
  <c r="N576" i="1"/>
  <c r="G576" i="1"/>
  <c r="J576" i="1"/>
  <c r="I576" i="1"/>
  <c r="F576" i="1"/>
  <c r="P576" i="1"/>
  <c r="K576" i="1"/>
  <c r="E576" i="1"/>
  <c r="D576" i="1"/>
  <c r="M576" i="1"/>
  <c r="H576" i="1"/>
  <c r="N526" i="1"/>
  <c r="E554" i="1"/>
  <c r="AE53" i="2"/>
  <c r="E595" i="1"/>
  <c r="D32" i="2" s="1"/>
  <c r="M10" i="2"/>
  <c r="AG26" i="2" s="1"/>
  <c r="V10" i="2"/>
  <c r="F590" i="1"/>
  <c r="C32" i="2"/>
  <c r="C122" i="2"/>
  <c r="F593" i="1"/>
  <c r="U295" i="1"/>
  <c r="U111" i="2"/>
  <c r="M111" i="2"/>
  <c r="F591" i="1"/>
  <c r="M84" i="2"/>
  <c r="U84" i="2"/>
  <c r="H589" i="1"/>
  <c r="G591" i="1" s="1"/>
  <c r="F594" i="1"/>
  <c r="D318" i="1"/>
  <c r="D462" i="1" s="1"/>
  <c r="C17" i="2" s="1"/>
  <c r="T295" i="1"/>
  <c r="G318" i="1"/>
  <c r="T298" i="1"/>
  <c r="U298" i="1"/>
  <c r="E426" i="1"/>
  <c r="E427" i="1"/>
  <c r="E425" i="1"/>
  <c r="E421" i="1"/>
  <c r="E424" i="1"/>
  <c r="E422" i="1"/>
  <c r="V476" i="1"/>
  <c r="N460" i="1"/>
  <c r="D438" i="1"/>
  <c r="D446" i="1"/>
  <c r="D444" i="1"/>
  <c r="E429" i="1"/>
  <c r="E447" i="1" s="1"/>
  <c r="D442" i="1"/>
  <c r="D411" i="1"/>
  <c r="D441" i="1"/>
  <c r="V437" i="1"/>
  <c r="N436" i="1"/>
  <c r="D437" i="1"/>
  <c r="D430" i="1"/>
  <c r="C23" i="2" s="1"/>
  <c r="C25" i="2" s="1"/>
  <c r="D439" i="1"/>
  <c r="E420" i="1"/>
  <c r="D445" i="1"/>
  <c r="D443" i="1"/>
  <c r="E419" i="1"/>
  <c r="E423" i="1"/>
  <c r="D440" i="1"/>
  <c r="G418" i="1"/>
  <c r="F424" i="1" s="1"/>
  <c r="J318" i="1"/>
  <c r="O400" i="1"/>
  <c r="W401" i="1"/>
  <c r="E347" i="1"/>
  <c r="G338" i="1"/>
  <c r="F341" i="1"/>
  <c r="F344" i="1"/>
  <c r="F342" i="1"/>
  <c r="F340" i="1"/>
  <c r="F343" i="1"/>
  <c r="F345" i="1"/>
  <c r="F346" i="1"/>
  <c r="W301" i="1"/>
  <c r="T296" i="1"/>
  <c r="U300" i="1"/>
  <c r="I318" i="1"/>
  <c r="T299" i="1"/>
  <c r="Y301" i="1"/>
  <c r="H318" i="1"/>
  <c r="P318" i="1"/>
  <c r="V296" i="1"/>
  <c r="V301" i="1" s="1"/>
  <c r="M318" i="1"/>
  <c r="T297" i="1"/>
  <c r="K318" i="1"/>
  <c r="X296" i="1"/>
  <c r="X301" i="1" s="1"/>
  <c r="O318" i="1"/>
  <c r="N318" i="1"/>
  <c r="E318" i="1"/>
  <c r="T300" i="1"/>
  <c r="F318" i="1"/>
  <c r="U296" i="1"/>
  <c r="U297" i="1"/>
  <c r="U299" i="1"/>
  <c r="N311" i="1"/>
  <c r="O311" i="1" s="1"/>
  <c r="P311" i="1" s="1"/>
  <c r="V294" i="1"/>
  <c r="W294" i="1" s="1"/>
  <c r="X294" i="1" s="1"/>
  <c r="Y294" i="1" s="1"/>
  <c r="I35" i="7" l="1"/>
  <c r="B37" i="7"/>
  <c r="E36" i="7"/>
  <c r="D36" i="7"/>
  <c r="H36" i="7" s="1"/>
  <c r="C36" i="7"/>
  <c r="J36" i="7" s="1"/>
  <c r="A38" i="7"/>
  <c r="G37" i="7"/>
  <c r="F37" i="7"/>
  <c r="H35" i="7"/>
  <c r="O526" i="1"/>
  <c r="E555" i="1"/>
  <c r="G6" i="6"/>
  <c r="F577" i="1"/>
  <c r="N577" i="1"/>
  <c r="M577" i="1"/>
  <c r="I577" i="1"/>
  <c r="P577" i="1"/>
  <c r="G577" i="1"/>
  <c r="E577" i="1"/>
  <c r="O577" i="1"/>
  <c r="J577" i="1"/>
  <c r="D577" i="1"/>
  <c r="H577" i="1"/>
  <c r="K577" i="1"/>
  <c r="D122" i="2"/>
  <c r="W10" i="2"/>
  <c r="AF53" i="2"/>
  <c r="N10" i="2"/>
  <c r="AH26" i="2" s="1"/>
  <c r="G593" i="1"/>
  <c r="G590" i="1"/>
  <c r="F427" i="1"/>
  <c r="G592" i="1"/>
  <c r="N111" i="2"/>
  <c r="V111" i="2"/>
  <c r="F595" i="1"/>
  <c r="C91" i="2"/>
  <c r="G594" i="1"/>
  <c r="F419" i="1"/>
  <c r="N84" i="2"/>
  <c r="V84" i="2"/>
  <c r="E462" i="1"/>
  <c r="D17" i="2" s="1"/>
  <c r="D91" i="2" s="1"/>
  <c r="I589" i="1"/>
  <c r="H592" i="1" s="1"/>
  <c r="F428" i="1"/>
  <c r="F426" i="1"/>
  <c r="F423" i="1"/>
  <c r="F422" i="1"/>
  <c r="F429" i="1"/>
  <c r="F447" i="1" s="1"/>
  <c r="W476" i="1"/>
  <c r="O460" i="1"/>
  <c r="E411" i="1"/>
  <c r="H418" i="1"/>
  <c r="G420" i="1" s="1"/>
  <c r="E445" i="1"/>
  <c r="D409" i="1"/>
  <c r="D406" i="1"/>
  <c r="E442" i="1"/>
  <c r="W437" i="1"/>
  <c r="O436" i="1"/>
  <c r="F421" i="1"/>
  <c r="D404" i="1"/>
  <c r="E440" i="1"/>
  <c r="E441" i="1"/>
  <c r="D405" i="1"/>
  <c r="D408" i="1"/>
  <c r="E444" i="1"/>
  <c r="D448" i="1"/>
  <c r="C115" i="2" s="1"/>
  <c r="E439" i="1"/>
  <c r="D403" i="1"/>
  <c r="D401" i="1"/>
  <c r="E437" i="1"/>
  <c r="F425" i="1"/>
  <c r="D410" i="1"/>
  <c r="E446" i="1"/>
  <c r="F420" i="1"/>
  <c r="E430" i="1"/>
  <c r="D23" i="2" s="1"/>
  <c r="D25" i="2" s="1"/>
  <c r="D402" i="1"/>
  <c r="E438" i="1"/>
  <c r="D407" i="1"/>
  <c r="E443" i="1"/>
  <c r="X401" i="1"/>
  <c r="P400" i="1"/>
  <c r="Y401" i="1" s="1"/>
  <c r="F347" i="1"/>
  <c r="F462" i="1" s="1"/>
  <c r="E17" i="2" s="1"/>
  <c r="E91" i="2" s="1"/>
  <c r="H338" i="1"/>
  <c r="G340" i="1"/>
  <c r="G341" i="1"/>
  <c r="T348" i="1" s="1"/>
  <c r="G343" i="1"/>
  <c r="T350" i="1" s="1"/>
  <c r="G342" i="1"/>
  <c r="T349" i="1" s="1"/>
  <c r="G344" i="1"/>
  <c r="T351" i="1" s="1"/>
  <c r="G345" i="1"/>
  <c r="T352" i="1" s="1"/>
  <c r="G346" i="1"/>
  <c r="T353" i="1" s="1"/>
  <c r="T301" i="1"/>
  <c r="U301" i="1"/>
  <c r="I36" i="7" l="1"/>
  <c r="B38" i="7"/>
  <c r="D37" i="7"/>
  <c r="C37" i="7"/>
  <c r="J37" i="7" s="1"/>
  <c r="E37" i="7"/>
  <c r="A39" i="7"/>
  <c r="G38" i="7"/>
  <c r="F38" i="7"/>
  <c r="AG53" i="2"/>
  <c r="H6" i="6"/>
  <c r="I578" i="1"/>
  <c r="J578" i="1"/>
  <c r="M578" i="1"/>
  <c r="E578" i="1"/>
  <c r="D578" i="1"/>
  <c r="P578" i="1"/>
  <c r="N578" i="1"/>
  <c r="K578" i="1"/>
  <c r="G578" i="1"/>
  <c r="F578" i="1"/>
  <c r="O578" i="1"/>
  <c r="H578" i="1"/>
  <c r="P526" i="1"/>
  <c r="E556" i="1"/>
  <c r="H591" i="1"/>
  <c r="X10" i="2"/>
  <c r="O10" i="2"/>
  <c r="AI26" i="2" s="1"/>
  <c r="H594" i="1"/>
  <c r="H593" i="1"/>
  <c r="G423" i="1"/>
  <c r="T424" i="1" s="1"/>
  <c r="G428" i="1"/>
  <c r="T429" i="1" s="1"/>
  <c r="E32" i="2"/>
  <c r="E122" i="2"/>
  <c r="H590" i="1"/>
  <c r="G595" i="1"/>
  <c r="G422" i="1"/>
  <c r="T423" i="1" s="1"/>
  <c r="O111" i="2"/>
  <c r="X111" i="2" s="1"/>
  <c r="W111" i="2"/>
  <c r="O84" i="2"/>
  <c r="X84" i="2" s="1"/>
  <c r="W84" i="2"/>
  <c r="J589" i="1"/>
  <c r="I593" i="1" s="1"/>
  <c r="G419" i="1"/>
  <c r="T420" i="1" s="1"/>
  <c r="G426" i="1"/>
  <c r="T427" i="1" s="1"/>
  <c r="G421" i="1"/>
  <c r="T422" i="1" s="1"/>
  <c r="G424" i="1"/>
  <c r="T425" i="1" s="1"/>
  <c r="G427" i="1"/>
  <c r="T428" i="1" s="1"/>
  <c r="G425" i="1"/>
  <c r="T426" i="1" s="1"/>
  <c r="T421" i="1"/>
  <c r="G429" i="1"/>
  <c r="P460" i="1"/>
  <c r="Y476" i="1" s="1"/>
  <c r="X476" i="1"/>
  <c r="E405" i="1"/>
  <c r="F441" i="1"/>
  <c r="E402" i="1"/>
  <c r="F438" i="1"/>
  <c r="E401" i="1"/>
  <c r="F437" i="1"/>
  <c r="E404" i="1"/>
  <c r="F440" i="1"/>
  <c r="X437" i="1"/>
  <c r="P436" i="1"/>
  <c r="Y437" i="1" s="1"/>
  <c r="F411" i="1"/>
  <c r="F445" i="1"/>
  <c r="E409" i="1"/>
  <c r="E410" i="1"/>
  <c r="F446" i="1"/>
  <c r="E408" i="1"/>
  <c r="F444" i="1"/>
  <c r="U419" i="1"/>
  <c r="I418" i="1"/>
  <c r="H429" i="1" s="1"/>
  <c r="D412" i="1"/>
  <c r="E448" i="1"/>
  <c r="D115" i="2" s="1"/>
  <c r="F439" i="1"/>
  <c r="E403" i="1"/>
  <c r="F443" i="1"/>
  <c r="E407" i="1"/>
  <c r="E406" i="1"/>
  <c r="F442" i="1"/>
  <c r="F430" i="1"/>
  <c r="E23" i="2" s="1"/>
  <c r="H346" i="1"/>
  <c r="H340" i="1"/>
  <c r="H342" i="1"/>
  <c r="H341" i="1"/>
  <c r="H343" i="1"/>
  <c r="H344" i="1"/>
  <c r="H345" i="1"/>
  <c r="U345" i="1"/>
  <c r="I338" i="1"/>
  <c r="G347" i="1"/>
  <c r="G462" i="1" s="1"/>
  <c r="T347" i="1"/>
  <c r="T354" i="1" s="1"/>
  <c r="B39" i="7" l="1"/>
  <c r="D38" i="7"/>
  <c r="E38" i="7"/>
  <c r="C38" i="7"/>
  <c r="J38" i="7" s="1"/>
  <c r="A40" i="7"/>
  <c r="F39" i="7"/>
  <c r="G39" i="7"/>
  <c r="H37" i="7"/>
  <c r="I37" i="7"/>
  <c r="Y10" i="2"/>
  <c r="AI53" i="2" s="1"/>
  <c r="H580" i="1"/>
  <c r="O580" i="1"/>
  <c r="N580" i="1"/>
  <c r="K580" i="1"/>
  <c r="I580" i="1"/>
  <c r="M580" i="1"/>
  <c r="G580" i="1"/>
  <c r="F580" i="1"/>
  <c r="E580" i="1"/>
  <c r="J580" i="1"/>
  <c r="P580" i="1"/>
  <c r="D580" i="1"/>
  <c r="I6" i="6"/>
  <c r="E579" i="1"/>
  <c r="J579" i="1"/>
  <c r="H579" i="1"/>
  <c r="D579" i="1"/>
  <c r="N579" i="1"/>
  <c r="M579" i="1"/>
  <c r="G579" i="1"/>
  <c r="F579" i="1"/>
  <c r="O579" i="1"/>
  <c r="K579" i="1"/>
  <c r="P579" i="1"/>
  <c r="I579" i="1"/>
  <c r="AH53" i="2"/>
  <c r="H595" i="1"/>
  <c r="G32" i="2" s="1"/>
  <c r="I592" i="1"/>
  <c r="F32" i="2"/>
  <c r="F122" i="2"/>
  <c r="I594" i="1"/>
  <c r="I591" i="1"/>
  <c r="I590" i="1"/>
  <c r="T478" i="1"/>
  <c r="F17" i="2"/>
  <c r="E25" i="2"/>
  <c r="D463" i="1"/>
  <c r="C94" i="2"/>
  <c r="C116" i="2" s="1"/>
  <c r="K589" i="1"/>
  <c r="J592" i="1" s="1"/>
  <c r="G430" i="1"/>
  <c r="F23" i="2" s="1"/>
  <c r="F25" i="2" s="1"/>
  <c r="H428" i="1"/>
  <c r="G447" i="1"/>
  <c r="G411" i="1" s="1"/>
  <c r="T430" i="1"/>
  <c r="S163" i="2" s="1"/>
  <c r="H427" i="1"/>
  <c r="H424" i="1"/>
  <c r="H420" i="1"/>
  <c r="H426" i="1"/>
  <c r="H422" i="1"/>
  <c r="H425" i="1"/>
  <c r="H421" i="1"/>
  <c r="E412" i="1"/>
  <c r="G445" i="1"/>
  <c r="T446" i="1" s="1"/>
  <c r="F409" i="1"/>
  <c r="G442" i="1"/>
  <c r="F406" i="1"/>
  <c r="F408" i="1"/>
  <c r="G444" i="1"/>
  <c r="F402" i="1"/>
  <c r="G438" i="1"/>
  <c r="J418" i="1"/>
  <c r="I421" i="1" s="1"/>
  <c r="H419" i="1"/>
  <c r="F410" i="1"/>
  <c r="G446" i="1"/>
  <c r="F405" i="1"/>
  <c r="G441" i="1"/>
  <c r="G439" i="1"/>
  <c r="F403" i="1"/>
  <c r="F404" i="1"/>
  <c r="G440" i="1"/>
  <c r="F401" i="1"/>
  <c r="F448" i="1"/>
  <c r="E115" i="2" s="1"/>
  <c r="G443" i="1"/>
  <c r="F407" i="1"/>
  <c r="H423" i="1"/>
  <c r="H347" i="1"/>
  <c r="H462" i="1" s="1"/>
  <c r="G17" i="2" s="1"/>
  <c r="J338" i="1"/>
  <c r="I345" i="1"/>
  <c r="I346" i="1"/>
  <c r="I340" i="1"/>
  <c r="I341" i="1"/>
  <c r="I342" i="1"/>
  <c r="I343" i="1"/>
  <c r="I344" i="1"/>
  <c r="H38" i="7" l="1"/>
  <c r="B40" i="7"/>
  <c r="C39" i="7"/>
  <c r="J39" i="7" s="1"/>
  <c r="D39" i="7"/>
  <c r="E39" i="7"/>
  <c r="A41" i="7"/>
  <c r="G40" i="7"/>
  <c r="F40" i="7"/>
  <c r="I38" i="7"/>
  <c r="D583" i="1"/>
  <c r="C31" i="2" s="1"/>
  <c r="G583" i="1"/>
  <c r="F31" i="2" s="1"/>
  <c r="F34" i="2" s="1"/>
  <c r="M583" i="1"/>
  <c r="L31" i="2" s="1"/>
  <c r="V31" i="2" s="1"/>
  <c r="F583" i="1"/>
  <c r="E31" i="2" s="1"/>
  <c r="E34" i="2" s="1"/>
  <c r="P583" i="1"/>
  <c r="O31" i="2" s="1"/>
  <c r="Y31" i="2" s="1"/>
  <c r="K583" i="1"/>
  <c r="J31" i="2" s="1"/>
  <c r="H583" i="1"/>
  <c r="G31" i="2" s="1"/>
  <c r="G34" i="2" s="1"/>
  <c r="N583" i="1"/>
  <c r="M31" i="2" s="1"/>
  <c r="W31" i="2" s="1"/>
  <c r="I583" i="1"/>
  <c r="H31" i="2" s="1"/>
  <c r="J583" i="1"/>
  <c r="I31" i="2" s="1"/>
  <c r="O583" i="1"/>
  <c r="N31" i="2" s="1"/>
  <c r="X31" i="2" s="1"/>
  <c r="E583" i="1"/>
  <c r="D31" i="2" s="1"/>
  <c r="D34" i="2" s="1"/>
  <c r="G122" i="2"/>
  <c r="C34" i="2"/>
  <c r="T32" i="2"/>
  <c r="S122" i="2"/>
  <c r="J594" i="1"/>
  <c r="I595" i="1"/>
  <c r="H447" i="1"/>
  <c r="H411" i="1" s="1"/>
  <c r="J593" i="1"/>
  <c r="J591" i="1"/>
  <c r="J590" i="1"/>
  <c r="T25" i="2"/>
  <c r="T23" i="2"/>
  <c r="G91" i="2"/>
  <c r="E463" i="1"/>
  <c r="D94" i="2"/>
  <c r="D116" i="2" s="1"/>
  <c r="F91" i="2"/>
  <c r="S91" i="2" s="1"/>
  <c r="T17" i="2"/>
  <c r="M589" i="1"/>
  <c r="K593" i="1" s="1"/>
  <c r="I426" i="1"/>
  <c r="I425" i="1"/>
  <c r="I420" i="1"/>
  <c r="I423" i="1"/>
  <c r="H430" i="1"/>
  <c r="G23" i="2" s="1"/>
  <c r="I429" i="1"/>
  <c r="I424" i="1"/>
  <c r="I422" i="1"/>
  <c r="I428" i="1"/>
  <c r="G404" i="1"/>
  <c r="T405" i="1" s="1"/>
  <c r="H440" i="1"/>
  <c r="H444" i="1"/>
  <c r="G408" i="1"/>
  <c r="T409" i="1" s="1"/>
  <c r="T445" i="1"/>
  <c r="K418" i="1"/>
  <c r="J425" i="1" s="1"/>
  <c r="J423" i="1"/>
  <c r="T443" i="1"/>
  <c r="H442" i="1"/>
  <c r="G406" i="1"/>
  <c r="T407" i="1" s="1"/>
  <c r="T441" i="1"/>
  <c r="G403" i="1"/>
  <c r="T404" i="1" s="1"/>
  <c r="T442" i="1"/>
  <c r="G405" i="1"/>
  <c r="T406" i="1" s="1"/>
  <c r="H441" i="1"/>
  <c r="I419" i="1"/>
  <c r="T440" i="1"/>
  <c r="H445" i="1"/>
  <c r="G409" i="1"/>
  <c r="T410" i="1" s="1"/>
  <c r="H443" i="1"/>
  <c r="G407" i="1"/>
  <c r="T408" i="1" s="1"/>
  <c r="G437" i="1"/>
  <c r="F412" i="1"/>
  <c r="T447" i="1"/>
  <c r="H446" i="1"/>
  <c r="G410" i="1"/>
  <c r="T411" i="1" s="1"/>
  <c r="I427" i="1"/>
  <c r="G402" i="1"/>
  <c r="T403" i="1" s="1"/>
  <c r="T439" i="1"/>
  <c r="T444" i="1"/>
  <c r="I347" i="1"/>
  <c r="I462" i="1" s="1"/>
  <c r="H17" i="2" s="1"/>
  <c r="H91" i="2" s="1"/>
  <c r="K338" i="1"/>
  <c r="J344" i="1"/>
  <c r="J345" i="1"/>
  <c r="J343" i="1"/>
  <c r="J346" i="1"/>
  <c r="J340" i="1"/>
  <c r="J341" i="1"/>
  <c r="J342" i="1"/>
  <c r="B41" i="7" l="1"/>
  <c r="C40" i="7"/>
  <c r="J40" i="7" s="1"/>
  <c r="D40" i="7"/>
  <c r="E40" i="7"/>
  <c r="I40" i="7"/>
  <c r="I39" i="7"/>
  <c r="H39" i="7"/>
  <c r="A42" i="7"/>
  <c r="G41" i="7"/>
  <c r="F41" i="7"/>
  <c r="U31" i="2"/>
  <c r="M34" i="2"/>
  <c r="W34" i="2" s="1"/>
  <c r="T34" i="2"/>
  <c r="T31" i="2"/>
  <c r="I447" i="1"/>
  <c r="I411" i="1" s="1"/>
  <c r="J595" i="1"/>
  <c r="I32" i="2" s="1"/>
  <c r="I34" i="2" s="1"/>
  <c r="K594" i="1"/>
  <c r="K592" i="1"/>
  <c r="K591" i="1"/>
  <c r="H32" i="2"/>
  <c r="H34" i="2" s="1"/>
  <c r="H122" i="2"/>
  <c r="K590" i="1"/>
  <c r="G25" i="2"/>
  <c r="F463" i="1"/>
  <c r="E94" i="2"/>
  <c r="E116" i="2" s="1"/>
  <c r="N589" i="1"/>
  <c r="M591" i="1" s="1"/>
  <c r="H438" i="1"/>
  <c r="H402" i="1" s="1"/>
  <c r="I438" i="1" s="1"/>
  <c r="I402" i="1" s="1"/>
  <c r="J421" i="1"/>
  <c r="J422" i="1"/>
  <c r="J429" i="1"/>
  <c r="J420" i="1"/>
  <c r="J424" i="1"/>
  <c r="H439" i="1"/>
  <c r="H403" i="1" s="1"/>
  <c r="I439" i="1" s="1"/>
  <c r="I403" i="1" s="1"/>
  <c r="J439" i="1" s="1"/>
  <c r="J419" i="1"/>
  <c r="J427" i="1"/>
  <c r="I444" i="1"/>
  <c r="H408" i="1"/>
  <c r="I440" i="1"/>
  <c r="I404" i="1" s="1"/>
  <c r="H404" i="1"/>
  <c r="H406" i="1"/>
  <c r="I442" i="1"/>
  <c r="I446" i="1"/>
  <c r="H410" i="1"/>
  <c r="I445" i="1"/>
  <c r="H409" i="1"/>
  <c r="M418" i="1"/>
  <c r="K422" i="1"/>
  <c r="K421" i="1"/>
  <c r="K423" i="1"/>
  <c r="U424" i="1" s="1"/>
  <c r="K424" i="1"/>
  <c r="K419" i="1"/>
  <c r="K420" i="1"/>
  <c r="K425" i="1"/>
  <c r="U426" i="1" s="1"/>
  <c r="K426" i="1"/>
  <c r="K428" i="1"/>
  <c r="K427" i="1"/>
  <c r="K429" i="1"/>
  <c r="T438" i="1"/>
  <c r="T448" i="1" s="1"/>
  <c r="G401" i="1"/>
  <c r="H437" i="1" s="1"/>
  <c r="G448" i="1"/>
  <c r="F115" i="2" s="1"/>
  <c r="S115" i="2" s="1"/>
  <c r="I430" i="1"/>
  <c r="H23" i="2" s="1"/>
  <c r="H25" i="2" s="1"/>
  <c r="J426" i="1"/>
  <c r="H407" i="1"/>
  <c r="I443" i="1"/>
  <c r="I441" i="1"/>
  <c r="H405" i="1"/>
  <c r="J428" i="1"/>
  <c r="J347" i="1"/>
  <c r="J462" i="1" s="1"/>
  <c r="I17" i="2" s="1"/>
  <c r="I91" i="2" s="1"/>
  <c r="M338" i="1"/>
  <c r="K343" i="1"/>
  <c r="U350" i="1" s="1"/>
  <c r="K344" i="1"/>
  <c r="U351" i="1" s="1"/>
  <c r="K340" i="1"/>
  <c r="U347" i="1" s="1"/>
  <c r="K345" i="1"/>
  <c r="U352" i="1" s="1"/>
  <c r="K346" i="1"/>
  <c r="U353" i="1" s="1"/>
  <c r="K341" i="1"/>
  <c r="U348" i="1" s="1"/>
  <c r="K342" i="1"/>
  <c r="U349" i="1" s="1"/>
  <c r="J440" i="1" l="1"/>
  <c r="J404" i="1" s="1"/>
  <c r="H40" i="7"/>
  <c r="A43" i="7"/>
  <c r="G42" i="7"/>
  <c r="F42" i="7"/>
  <c r="B42" i="7"/>
  <c r="E41" i="7"/>
  <c r="I41" i="7" s="1"/>
  <c r="C41" i="7"/>
  <c r="J41" i="7" s="1"/>
  <c r="D41" i="7"/>
  <c r="J438" i="1"/>
  <c r="J402" i="1" s="1"/>
  <c r="K438" i="1" s="1"/>
  <c r="K402" i="1" s="1"/>
  <c r="U403" i="1" s="1"/>
  <c r="J447" i="1"/>
  <c r="J411" i="1" s="1"/>
  <c r="M592" i="1"/>
  <c r="I122" i="2"/>
  <c r="M594" i="1"/>
  <c r="U422" i="1"/>
  <c r="U423" i="1"/>
  <c r="K595" i="1"/>
  <c r="J122" i="2" s="1"/>
  <c r="T122" i="2" s="1"/>
  <c r="M593" i="1"/>
  <c r="M590" i="1"/>
  <c r="O589" i="1"/>
  <c r="N592" i="1" s="1"/>
  <c r="U421" i="1"/>
  <c r="U425" i="1"/>
  <c r="J403" i="1"/>
  <c r="K439" i="1" s="1"/>
  <c r="J430" i="1"/>
  <c r="I23" i="2" s="1"/>
  <c r="I25" i="2" s="1"/>
  <c r="U429" i="1"/>
  <c r="U428" i="1"/>
  <c r="I407" i="1"/>
  <c r="J443" i="1"/>
  <c r="I409" i="1"/>
  <c r="J445" i="1"/>
  <c r="I408" i="1"/>
  <c r="J444" i="1"/>
  <c r="J446" i="1"/>
  <c r="I410" i="1"/>
  <c r="K430" i="1"/>
  <c r="J23" i="2" s="1"/>
  <c r="J25" i="2" s="1"/>
  <c r="J442" i="1"/>
  <c r="J406" i="1" s="1"/>
  <c r="K442" i="1" s="1"/>
  <c r="I406" i="1"/>
  <c r="H401" i="1"/>
  <c r="H412" i="1" s="1"/>
  <c r="K447" i="1"/>
  <c r="U427" i="1"/>
  <c r="N418" i="1"/>
  <c r="M428" i="1" s="1"/>
  <c r="V429" i="1" s="1"/>
  <c r="V419" i="1"/>
  <c r="U420" i="1"/>
  <c r="G412" i="1"/>
  <c r="T402" i="1"/>
  <c r="T412" i="1" s="1"/>
  <c r="I405" i="1"/>
  <c r="J441" i="1"/>
  <c r="H448" i="1"/>
  <c r="G115" i="2" s="1"/>
  <c r="M345" i="1"/>
  <c r="V352" i="1" s="1"/>
  <c r="M341" i="1"/>
  <c r="V348" i="1" s="1"/>
  <c r="M346" i="1"/>
  <c r="V353" i="1" s="1"/>
  <c r="M340" i="1"/>
  <c r="M342" i="1"/>
  <c r="V349" i="1" s="1"/>
  <c r="M343" i="1"/>
  <c r="V350" i="1" s="1"/>
  <c r="M344" i="1"/>
  <c r="V351" i="1" s="1"/>
  <c r="V345" i="1"/>
  <c r="N338" i="1"/>
  <c r="U354" i="1"/>
  <c r="K347" i="1"/>
  <c r="K462" i="1" s="1"/>
  <c r="K440" i="1" l="1"/>
  <c r="U441" i="1" s="1"/>
  <c r="A44" i="7"/>
  <c r="G43" i="7"/>
  <c r="F43" i="7"/>
  <c r="H41" i="7"/>
  <c r="B43" i="7"/>
  <c r="E42" i="7"/>
  <c r="C42" i="7"/>
  <c r="J42" i="7" s="1"/>
  <c r="D42" i="7"/>
  <c r="U439" i="1"/>
  <c r="J32" i="2"/>
  <c r="U32" i="2" s="1"/>
  <c r="L32" i="2"/>
  <c r="V32" i="2" s="1"/>
  <c r="N594" i="1"/>
  <c r="M595" i="1"/>
  <c r="N32" i="2" s="1"/>
  <c r="X32" i="2" s="1"/>
  <c r="N593" i="1"/>
  <c r="U25" i="2"/>
  <c r="N591" i="1"/>
  <c r="N590" i="1"/>
  <c r="J34" i="2"/>
  <c r="U34" i="2" s="1"/>
  <c r="U23" i="2"/>
  <c r="G463" i="1"/>
  <c r="T479" i="1" s="1"/>
  <c r="F94" i="2"/>
  <c r="H463" i="1"/>
  <c r="G94" i="2"/>
  <c r="G116" i="2" s="1"/>
  <c r="U478" i="1"/>
  <c r="J17" i="2"/>
  <c r="P589" i="1"/>
  <c r="O593" i="1" s="1"/>
  <c r="M422" i="1"/>
  <c r="V423" i="1" s="1"/>
  <c r="M423" i="1"/>
  <c r="V424" i="1" s="1"/>
  <c r="M425" i="1"/>
  <c r="V426" i="1" s="1"/>
  <c r="M424" i="1"/>
  <c r="V425" i="1" s="1"/>
  <c r="U440" i="1"/>
  <c r="K403" i="1"/>
  <c r="U404" i="1" s="1"/>
  <c r="M419" i="1"/>
  <c r="V420" i="1" s="1"/>
  <c r="M421" i="1"/>
  <c r="V422" i="1" s="1"/>
  <c r="M427" i="1"/>
  <c r="V428" i="1" s="1"/>
  <c r="J409" i="1"/>
  <c r="K445" i="1"/>
  <c r="M429" i="1"/>
  <c r="M447" i="1" s="1"/>
  <c r="K411" i="1"/>
  <c r="J408" i="1"/>
  <c r="K444" i="1"/>
  <c r="U445" i="1" s="1"/>
  <c r="U443" i="1"/>
  <c r="K406" i="1"/>
  <c r="U407" i="1" s="1"/>
  <c r="K443" i="1"/>
  <c r="J407" i="1"/>
  <c r="J405" i="1"/>
  <c r="K441" i="1" s="1"/>
  <c r="U430" i="1"/>
  <c r="T163" i="2" s="1"/>
  <c r="M420" i="1"/>
  <c r="O418" i="1"/>
  <c r="N426" i="1" s="1"/>
  <c r="W427" i="1" s="1"/>
  <c r="W419" i="1"/>
  <c r="M426" i="1"/>
  <c r="V427" i="1" s="1"/>
  <c r="I437" i="1"/>
  <c r="K446" i="1"/>
  <c r="J410" i="1"/>
  <c r="V347" i="1"/>
  <c r="V354" i="1" s="1"/>
  <c r="M347" i="1"/>
  <c r="M462" i="1" s="1"/>
  <c r="L17" i="2" s="1"/>
  <c r="L91" i="2" s="1"/>
  <c r="U91" i="2" s="1"/>
  <c r="N346" i="1"/>
  <c r="W353" i="1" s="1"/>
  <c r="N340" i="1"/>
  <c r="N343" i="1"/>
  <c r="W350" i="1" s="1"/>
  <c r="N345" i="1"/>
  <c r="W352" i="1" s="1"/>
  <c r="N342" i="1"/>
  <c r="W349" i="1" s="1"/>
  <c r="N344" i="1"/>
  <c r="W351" i="1" s="1"/>
  <c r="N341" i="1"/>
  <c r="W348" i="1" s="1"/>
  <c r="W345" i="1"/>
  <c r="O338" i="1"/>
  <c r="K404" i="1" l="1"/>
  <c r="U405" i="1" s="1"/>
  <c r="B44" i="7"/>
  <c r="E43" i="7"/>
  <c r="C43" i="7"/>
  <c r="J43" i="7" s="1"/>
  <c r="D43" i="7"/>
  <c r="A45" i="7"/>
  <c r="G44" i="7"/>
  <c r="F44" i="7"/>
  <c r="H42" i="7"/>
  <c r="I42" i="7"/>
  <c r="V421" i="1"/>
  <c r="V430" i="1" s="1"/>
  <c r="U163" i="2" s="1"/>
  <c r="M438" i="1"/>
  <c r="M440" i="1"/>
  <c r="V441" i="1" s="1"/>
  <c r="L34" i="2"/>
  <c r="V34" i="2" s="1"/>
  <c r="N595" i="1"/>
  <c r="O32" i="2" s="1"/>
  <c r="O34" i="2" s="1"/>
  <c r="Y34" i="2" s="1"/>
  <c r="L122" i="2"/>
  <c r="U122" i="2" s="1"/>
  <c r="N34" i="2"/>
  <c r="X34" i="2" s="1"/>
  <c r="S94" i="2"/>
  <c r="S162" i="2" s="1"/>
  <c r="F116" i="2"/>
  <c r="S116" i="2" s="1"/>
  <c r="O594" i="1"/>
  <c r="J91" i="2"/>
  <c r="T91" i="2" s="1"/>
  <c r="U17" i="2"/>
  <c r="O591" i="1"/>
  <c r="O590" i="1"/>
  <c r="O592" i="1"/>
  <c r="P592" i="1"/>
  <c r="P594" i="1"/>
  <c r="P593" i="1"/>
  <c r="P591" i="1"/>
  <c r="P590" i="1"/>
  <c r="M439" i="1"/>
  <c r="V440" i="1" s="1"/>
  <c r="N424" i="1"/>
  <c r="W425" i="1" s="1"/>
  <c r="N422" i="1"/>
  <c r="W423" i="1" s="1"/>
  <c r="N429" i="1"/>
  <c r="N447" i="1" s="1"/>
  <c r="V478" i="1"/>
  <c r="M445" i="1"/>
  <c r="K409" i="1"/>
  <c r="U410" i="1" s="1"/>
  <c r="U446" i="1"/>
  <c r="M430" i="1"/>
  <c r="L23" i="2" s="1"/>
  <c r="M442" i="1"/>
  <c r="N427" i="1"/>
  <c r="W428" i="1" s="1"/>
  <c r="N419" i="1"/>
  <c r="U442" i="1"/>
  <c r="K405" i="1"/>
  <c r="M444" i="1"/>
  <c r="K408" i="1"/>
  <c r="U409" i="1" s="1"/>
  <c r="N423" i="1"/>
  <c r="W424" i="1" s="1"/>
  <c r="N421" i="1"/>
  <c r="W422" i="1" s="1"/>
  <c r="N428" i="1"/>
  <c r="W429" i="1" s="1"/>
  <c r="M411" i="1"/>
  <c r="N425" i="1"/>
  <c r="W426" i="1" s="1"/>
  <c r="K410" i="1"/>
  <c r="U411" i="1" s="1"/>
  <c r="M446" i="1"/>
  <c r="U444" i="1"/>
  <c r="M443" i="1"/>
  <c r="K407" i="1"/>
  <c r="U408" i="1" s="1"/>
  <c r="X419" i="1"/>
  <c r="P418" i="1"/>
  <c r="O428" i="1" s="1"/>
  <c r="X429" i="1" s="1"/>
  <c r="I401" i="1"/>
  <c r="J437" i="1" s="1"/>
  <c r="I448" i="1"/>
  <c r="H115" i="2" s="1"/>
  <c r="N420" i="1"/>
  <c r="W421" i="1" s="1"/>
  <c r="U447" i="1"/>
  <c r="W347" i="1"/>
  <c r="W354" i="1" s="1"/>
  <c r="N347" i="1"/>
  <c r="N462" i="1" s="1"/>
  <c r="M17" i="2" s="1"/>
  <c r="M91" i="2" s="1"/>
  <c r="V91" i="2" s="1"/>
  <c r="O341" i="1"/>
  <c r="X348" i="1" s="1"/>
  <c r="O346" i="1"/>
  <c r="X353" i="1" s="1"/>
  <c r="O340" i="1"/>
  <c r="O343" i="1"/>
  <c r="X350" i="1" s="1"/>
  <c r="O345" i="1"/>
  <c r="X352" i="1" s="1"/>
  <c r="O342" i="1"/>
  <c r="X349" i="1" s="1"/>
  <c r="O344" i="1"/>
  <c r="X351" i="1" s="1"/>
  <c r="P338" i="1"/>
  <c r="X345" i="1"/>
  <c r="I43" i="7" l="1"/>
  <c r="B45" i="7"/>
  <c r="E44" i="7"/>
  <c r="D44" i="7"/>
  <c r="C44" i="7"/>
  <c r="J44" i="7" s="1"/>
  <c r="A46" i="7"/>
  <c r="G45" i="7"/>
  <c r="F45" i="7"/>
  <c r="H43" i="7"/>
  <c r="M404" i="1"/>
  <c r="V405" i="1" s="1"/>
  <c r="V439" i="1"/>
  <c r="M402" i="1"/>
  <c r="V403" i="1" s="1"/>
  <c r="M122" i="2"/>
  <c r="V122" i="2" s="1"/>
  <c r="Y32" i="2"/>
  <c r="P595" i="1"/>
  <c r="O122" i="2" s="1"/>
  <c r="O595" i="1"/>
  <c r="N122" i="2" s="1"/>
  <c r="M403" i="1"/>
  <c r="V404" i="1" s="1"/>
  <c r="O420" i="1"/>
  <c r="X421" i="1" s="1"/>
  <c r="O424" i="1"/>
  <c r="X425" i="1" s="1"/>
  <c r="L25" i="2"/>
  <c r="V25" i="2" s="1"/>
  <c r="V23" i="2"/>
  <c r="N440" i="1"/>
  <c r="N404" i="1" s="1"/>
  <c r="W405" i="1" s="1"/>
  <c r="W478" i="1"/>
  <c r="J401" i="1"/>
  <c r="J448" i="1"/>
  <c r="I115" i="2" s="1"/>
  <c r="Y419" i="1"/>
  <c r="P420" i="1"/>
  <c r="Y421" i="1" s="1"/>
  <c r="P428" i="1"/>
  <c r="Y429" i="1" s="1"/>
  <c r="P421" i="1"/>
  <c r="Y422" i="1" s="1"/>
  <c r="P429" i="1"/>
  <c r="P426" i="1"/>
  <c r="Y427" i="1" s="1"/>
  <c r="P422" i="1"/>
  <c r="Y423" i="1" s="1"/>
  <c r="P419" i="1"/>
  <c r="P423" i="1"/>
  <c r="Y424" i="1" s="1"/>
  <c r="P424" i="1"/>
  <c r="Y425" i="1" s="1"/>
  <c r="P425" i="1"/>
  <c r="Y426" i="1" s="1"/>
  <c r="P427" i="1"/>
  <c r="Y428" i="1" s="1"/>
  <c r="V443" i="1"/>
  <c r="M406" i="1"/>
  <c r="V407" i="1" s="1"/>
  <c r="O419" i="1"/>
  <c r="V444" i="1"/>
  <c r="M407" i="1"/>
  <c r="V408" i="1" s="1"/>
  <c r="V447" i="1"/>
  <c r="N446" i="1"/>
  <c r="M410" i="1"/>
  <c r="V411" i="1" s="1"/>
  <c r="O421" i="1"/>
  <c r="X422" i="1" s="1"/>
  <c r="M408" i="1"/>
  <c r="V409" i="1" s="1"/>
  <c r="V445" i="1"/>
  <c r="N444" i="1"/>
  <c r="I412" i="1"/>
  <c r="O422" i="1"/>
  <c r="X423" i="1" s="1"/>
  <c r="W420" i="1"/>
  <c r="W430" i="1" s="1"/>
  <c r="V163" i="2" s="1"/>
  <c r="N430" i="1"/>
  <c r="M23" i="2" s="1"/>
  <c r="O429" i="1"/>
  <c r="O447" i="1" s="1"/>
  <c r="O426" i="1"/>
  <c r="X427" i="1" s="1"/>
  <c r="O423" i="1"/>
  <c r="X424" i="1" s="1"/>
  <c r="O425" i="1"/>
  <c r="X426" i="1" s="1"/>
  <c r="U406" i="1"/>
  <c r="M441" i="1"/>
  <c r="V446" i="1"/>
  <c r="N445" i="1"/>
  <c r="M409" i="1"/>
  <c r="V410" i="1" s="1"/>
  <c r="O427" i="1"/>
  <c r="X428" i="1" s="1"/>
  <c r="N411" i="1"/>
  <c r="O347" i="1"/>
  <c r="O462" i="1" s="1"/>
  <c r="N17" i="2" s="1"/>
  <c r="N91" i="2" s="1"/>
  <c r="W91" i="2" s="1"/>
  <c r="X347" i="1"/>
  <c r="X354" i="1" s="1"/>
  <c r="Y345" i="1"/>
  <c r="P344" i="1"/>
  <c r="Y351" i="1" s="1"/>
  <c r="P341" i="1"/>
  <c r="Y348" i="1" s="1"/>
  <c r="P346" i="1"/>
  <c r="Y353" i="1" s="1"/>
  <c r="P340" i="1"/>
  <c r="P343" i="1"/>
  <c r="Y350" i="1" s="1"/>
  <c r="P345" i="1"/>
  <c r="Y352" i="1" s="1"/>
  <c r="P342" i="1"/>
  <c r="Y349" i="1" s="1"/>
  <c r="I44" i="7" l="1"/>
  <c r="H44" i="7"/>
  <c r="B46" i="7"/>
  <c r="D45" i="7"/>
  <c r="E45" i="7"/>
  <c r="C45" i="7"/>
  <c r="J45" i="7" s="1"/>
  <c r="A47" i="7"/>
  <c r="F46" i="7"/>
  <c r="G46" i="7"/>
  <c r="N438" i="1"/>
  <c r="N402" i="1" s="1"/>
  <c r="W403" i="1" s="1"/>
  <c r="N439" i="1"/>
  <c r="N403" i="1" s="1"/>
  <c r="W404" i="1" s="1"/>
  <c r="W122" i="2"/>
  <c r="X122" i="2"/>
  <c r="W441" i="1"/>
  <c r="I463" i="1"/>
  <c r="H94" i="2"/>
  <c r="H116" i="2" s="1"/>
  <c r="M25" i="2"/>
  <c r="W25" i="2" s="1"/>
  <c r="W23" i="2"/>
  <c r="X478" i="1"/>
  <c r="N442" i="1"/>
  <c r="W443" i="1" s="1"/>
  <c r="N409" i="1"/>
  <c r="W410" i="1" s="1"/>
  <c r="W446" i="1"/>
  <c r="O445" i="1"/>
  <c r="O446" i="1"/>
  <c r="W447" i="1"/>
  <c r="N410" i="1"/>
  <c r="W411" i="1" s="1"/>
  <c r="N443" i="1"/>
  <c r="V442" i="1"/>
  <c r="M405" i="1"/>
  <c r="V406" i="1" s="1"/>
  <c r="X420" i="1"/>
  <c r="X430" i="1" s="1"/>
  <c r="W163" i="2" s="1"/>
  <c r="O430" i="1"/>
  <c r="N23" i="2" s="1"/>
  <c r="Y420" i="1"/>
  <c r="Y430" i="1" s="1"/>
  <c r="X163" i="2" s="1"/>
  <c r="P430" i="1"/>
  <c r="O23" i="2" s="1"/>
  <c r="P447" i="1"/>
  <c r="P411" i="1" s="1"/>
  <c r="O411" i="1"/>
  <c r="N408" i="1"/>
  <c r="W409" i="1" s="1"/>
  <c r="W445" i="1"/>
  <c r="O440" i="1"/>
  <c r="K437" i="1"/>
  <c r="J412" i="1"/>
  <c r="Y347" i="1"/>
  <c r="Y354" i="1" s="1"/>
  <c r="P347" i="1"/>
  <c r="P462" i="1" s="1"/>
  <c r="O17" i="2" s="1"/>
  <c r="O91" i="2" s="1"/>
  <c r="X91" i="2" s="1"/>
  <c r="I45" i="7" l="1"/>
  <c r="B47" i="7"/>
  <c r="D46" i="7"/>
  <c r="C46" i="7"/>
  <c r="J46" i="7" s="1"/>
  <c r="E46" i="7"/>
  <c r="A48" i="7"/>
  <c r="G47" i="7"/>
  <c r="F47" i="7"/>
  <c r="H45" i="7"/>
  <c r="O438" i="1"/>
  <c r="O402" i="1" s="1"/>
  <c r="X403" i="1" s="1"/>
  <c r="W439" i="1"/>
  <c r="W440" i="1"/>
  <c r="N441" i="1"/>
  <c r="W442" i="1" s="1"/>
  <c r="J463" i="1"/>
  <c r="I94" i="2"/>
  <c r="I116" i="2" s="1"/>
  <c r="Y23" i="2"/>
  <c r="O25" i="2"/>
  <c r="Y25" i="2" s="1"/>
  <c r="N25" i="2"/>
  <c r="X25" i="2" s="1"/>
  <c r="X23" i="2"/>
  <c r="N406" i="1"/>
  <c r="W407" i="1" s="1"/>
  <c r="Y478" i="1"/>
  <c r="O444" i="1"/>
  <c r="X445" i="1" s="1"/>
  <c r="U438" i="1"/>
  <c r="U448" i="1" s="1"/>
  <c r="K401" i="1"/>
  <c r="K448" i="1"/>
  <c r="J115" i="2" s="1"/>
  <c r="T115" i="2" s="1"/>
  <c r="X447" i="1"/>
  <c r="P446" i="1"/>
  <c r="O410" i="1"/>
  <c r="X411" i="1" s="1"/>
  <c r="N407" i="1"/>
  <c r="W408" i="1" s="1"/>
  <c r="W444" i="1"/>
  <c r="X441" i="1"/>
  <c r="O404" i="1"/>
  <c r="X405" i="1" s="1"/>
  <c r="P445" i="1"/>
  <c r="O409" i="1"/>
  <c r="X410" i="1" s="1"/>
  <c r="X446" i="1"/>
  <c r="O439" i="1"/>
  <c r="I46" i="7" l="1"/>
  <c r="H46" i="7"/>
  <c r="B48" i="7"/>
  <c r="E47" i="7"/>
  <c r="D47" i="7"/>
  <c r="C47" i="7"/>
  <c r="J47" i="7" s="1"/>
  <c r="A49" i="7"/>
  <c r="F48" i="7"/>
  <c r="G48" i="7"/>
  <c r="X439" i="1"/>
  <c r="P438" i="1"/>
  <c r="N405" i="1"/>
  <c r="W406" i="1" s="1"/>
  <c r="O408" i="1"/>
  <c r="X409" i="1" s="1"/>
  <c r="O442" i="1"/>
  <c r="X443" i="1" s="1"/>
  <c r="P440" i="1"/>
  <c r="Y441" i="1" s="1"/>
  <c r="P409" i="1"/>
  <c r="Y410" i="1" s="1"/>
  <c r="Y446" i="1"/>
  <c r="X440" i="1"/>
  <c r="O403" i="1"/>
  <c r="X404" i="1" s="1"/>
  <c r="Y447" i="1"/>
  <c r="P410" i="1"/>
  <c r="Y411" i="1" s="1"/>
  <c r="O443" i="1"/>
  <c r="M437" i="1"/>
  <c r="K412" i="1"/>
  <c r="U402" i="1"/>
  <c r="U412" i="1" s="1"/>
  <c r="H47" i="7" l="1"/>
  <c r="B49" i="7"/>
  <c r="D48" i="7"/>
  <c r="E48" i="7"/>
  <c r="C48" i="7"/>
  <c r="J48" i="7" s="1"/>
  <c r="A50" i="7"/>
  <c r="F49" i="7"/>
  <c r="G49" i="7"/>
  <c r="I47" i="7"/>
  <c r="Y439" i="1"/>
  <c r="P402" i="1"/>
  <c r="Y403" i="1" s="1"/>
  <c r="O441" i="1"/>
  <c r="O405" i="1" s="1"/>
  <c r="X406" i="1" s="1"/>
  <c r="P444" i="1"/>
  <c r="P408" i="1" s="1"/>
  <c r="Y409" i="1" s="1"/>
  <c r="O406" i="1"/>
  <c r="X407" i="1" s="1"/>
  <c r="K463" i="1"/>
  <c r="U479" i="1" s="1"/>
  <c r="J94" i="2"/>
  <c r="P404" i="1"/>
  <c r="Y405" i="1" s="1"/>
  <c r="P439" i="1"/>
  <c r="V438" i="1"/>
  <c r="V448" i="1" s="1"/>
  <c r="M401" i="1"/>
  <c r="M448" i="1"/>
  <c r="L115" i="2" s="1"/>
  <c r="U115" i="2" s="1"/>
  <c r="X444" i="1"/>
  <c r="O407" i="1"/>
  <c r="X408" i="1" s="1"/>
  <c r="A51" i="7" l="1"/>
  <c r="F50" i="7"/>
  <c r="G50" i="7"/>
  <c r="H48" i="7"/>
  <c r="B50" i="7"/>
  <c r="C49" i="7"/>
  <c r="J49" i="7" s="1"/>
  <c r="E49" i="7"/>
  <c r="D49" i="7"/>
  <c r="I48" i="7"/>
  <c r="P441" i="1"/>
  <c r="Y442" i="1" s="1"/>
  <c r="X442" i="1"/>
  <c r="P442" i="1"/>
  <c r="P406" i="1" s="1"/>
  <c r="Y407" i="1" s="1"/>
  <c r="Y445" i="1"/>
  <c r="P443" i="1"/>
  <c r="P407" i="1" s="1"/>
  <c r="Y408" i="1" s="1"/>
  <c r="T94" i="2"/>
  <c r="T162" i="2" s="1"/>
  <c r="J116" i="2"/>
  <c r="T116" i="2" s="1"/>
  <c r="N437" i="1"/>
  <c r="V402" i="1"/>
  <c r="V412" i="1" s="1"/>
  <c r="M412" i="1"/>
  <c r="P403" i="1"/>
  <c r="Y404" i="1" s="1"/>
  <c r="Y440" i="1"/>
  <c r="H49" i="7" l="1"/>
  <c r="I49" i="7"/>
  <c r="A52" i="7"/>
  <c r="F51" i="7"/>
  <c r="G51" i="7"/>
  <c r="B51" i="7"/>
  <c r="C50" i="7"/>
  <c r="J50" i="7" s="1"/>
  <c r="E50" i="7"/>
  <c r="D50" i="7"/>
  <c r="P405" i="1"/>
  <c r="Y406" i="1" s="1"/>
  <c r="Y443" i="1"/>
  <c r="Y444" i="1"/>
  <c r="M463" i="1"/>
  <c r="V479" i="1" s="1"/>
  <c r="L94" i="2"/>
  <c r="W438" i="1"/>
  <c r="W448" i="1" s="1"/>
  <c r="N401" i="1"/>
  <c r="N448" i="1"/>
  <c r="M115" i="2" s="1"/>
  <c r="V115" i="2" s="1"/>
  <c r="A53" i="7" l="1"/>
  <c r="G52" i="7"/>
  <c r="F52" i="7"/>
  <c r="H50" i="7"/>
  <c r="I50" i="7"/>
  <c r="B52" i="7"/>
  <c r="E51" i="7"/>
  <c r="D51" i="7"/>
  <c r="C51" i="7"/>
  <c r="J51" i="7" s="1"/>
  <c r="U94" i="2"/>
  <c r="U162" i="2" s="1"/>
  <c r="L116" i="2"/>
  <c r="U116" i="2" s="1"/>
  <c r="O437" i="1"/>
  <c r="W402" i="1"/>
  <c r="W412" i="1" s="1"/>
  <c r="N412" i="1"/>
  <c r="I51" i="7" l="1"/>
  <c r="A54" i="7"/>
  <c r="G53" i="7"/>
  <c r="F53" i="7"/>
  <c r="B53" i="7"/>
  <c r="D52" i="7"/>
  <c r="E52" i="7"/>
  <c r="I52" i="7" s="1"/>
  <c r="C52" i="7"/>
  <c r="J52" i="7" s="1"/>
  <c r="H51" i="7"/>
  <c r="N463" i="1"/>
  <c r="W479" i="1" s="1"/>
  <c r="M94" i="2"/>
  <c r="O401" i="1"/>
  <c r="X438" i="1"/>
  <c r="X448" i="1" s="1"/>
  <c r="O448" i="1"/>
  <c r="N115" i="2" s="1"/>
  <c r="W115" i="2" s="1"/>
  <c r="V17" i="2"/>
  <c r="A55" i="7" l="1"/>
  <c r="F54" i="7"/>
  <c r="G54" i="7"/>
  <c r="H52" i="7"/>
  <c r="B54" i="7"/>
  <c r="D53" i="7"/>
  <c r="H53" i="7" s="1"/>
  <c r="C53" i="7"/>
  <c r="J53" i="7" s="1"/>
  <c r="E53" i="7"/>
  <c r="V94" i="2"/>
  <c r="V162" i="2" s="1"/>
  <c r="M116" i="2"/>
  <c r="V116" i="2" s="1"/>
  <c r="P437" i="1"/>
  <c r="X402" i="1"/>
  <c r="X412" i="1" s="1"/>
  <c r="O412" i="1"/>
  <c r="W17" i="2"/>
  <c r="I53" i="7" l="1"/>
  <c r="A56" i="7"/>
  <c r="F55" i="7"/>
  <c r="G55" i="7"/>
  <c r="B55" i="7"/>
  <c r="E54" i="7"/>
  <c r="C54" i="7"/>
  <c r="J54" i="7" s="1"/>
  <c r="D54" i="7"/>
  <c r="O463" i="1"/>
  <c r="X479" i="1" s="1"/>
  <c r="N94" i="2"/>
  <c r="P401" i="1"/>
  <c r="Y438" i="1"/>
  <c r="Y448" i="1" s="1"/>
  <c r="P448" i="1"/>
  <c r="O115" i="2" s="1"/>
  <c r="X115" i="2" s="1"/>
  <c r="A57" i="7" l="1"/>
  <c r="F56" i="7"/>
  <c r="G56" i="7"/>
  <c r="H54" i="7"/>
  <c r="I54" i="7"/>
  <c r="B56" i="7"/>
  <c r="D55" i="7"/>
  <c r="E55" i="7"/>
  <c r="I55" i="7" s="1"/>
  <c r="C55" i="7"/>
  <c r="J55" i="7" s="1"/>
  <c r="W94" i="2"/>
  <c r="W162" i="2" s="1"/>
  <c r="N116" i="2"/>
  <c r="W116" i="2" s="1"/>
  <c r="Y402" i="1"/>
  <c r="Y412" i="1" s="1"/>
  <c r="P412" i="1"/>
  <c r="X17" i="2"/>
  <c r="H55" i="7" l="1"/>
  <c r="A58" i="7"/>
  <c r="F57" i="7"/>
  <c r="G57" i="7"/>
  <c r="B57" i="7"/>
  <c r="D56" i="7"/>
  <c r="E56" i="7"/>
  <c r="C56" i="7"/>
  <c r="J56" i="7" s="1"/>
  <c r="P463" i="1"/>
  <c r="Y479" i="1" s="1"/>
  <c r="O94" i="2"/>
  <c r="A59" i="7" l="1"/>
  <c r="G58" i="7"/>
  <c r="F58" i="7"/>
  <c r="B58" i="7"/>
  <c r="E57" i="7"/>
  <c r="I57" i="7" s="1"/>
  <c r="C57" i="7"/>
  <c r="J57" i="7" s="1"/>
  <c r="D57" i="7"/>
  <c r="I56" i="7"/>
  <c r="H56" i="7"/>
  <c r="X94" i="2"/>
  <c r="X162" i="2" s="1"/>
  <c r="O116" i="2"/>
  <c r="X116" i="2" s="1"/>
  <c r="Y17" i="2"/>
  <c r="B59" i="7" l="1"/>
  <c r="E58" i="7"/>
  <c r="D58" i="7"/>
  <c r="C58" i="7"/>
  <c r="J58" i="7" s="1"/>
  <c r="H58" i="7"/>
  <c r="A60" i="7"/>
  <c r="F59" i="7"/>
  <c r="G59" i="7"/>
  <c r="H57" i="7"/>
  <c r="C156" i="1"/>
  <c r="C146" i="1"/>
  <c r="D152" i="1"/>
  <c r="E152" i="1" s="1"/>
  <c r="F152" i="1" s="1"/>
  <c r="G152" i="1" s="1"/>
  <c r="H152" i="1" s="1"/>
  <c r="I152" i="1" s="1"/>
  <c r="J152" i="1" s="1"/>
  <c r="K152" i="1" s="1"/>
  <c r="M152" i="1" s="1"/>
  <c r="D142" i="1"/>
  <c r="E142" i="1" s="1"/>
  <c r="F142" i="1" s="1"/>
  <c r="G142" i="1" s="1"/>
  <c r="H142" i="1" s="1"/>
  <c r="I142" i="1" s="1"/>
  <c r="J142" i="1" s="1"/>
  <c r="K142" i="1" s="1"/>
  <c r="M142" i="1" s="1"/>
  <c r="N142" i="1" s="1"/>
  <c r="O142" i="1" s="1"/>
  <c r="P142" i="1" s="1"/>
  <c r="I58" i="7" l="1"/>
  <c r="B60" i="7"/>
  <c r="C59" i="7"/>
  <c r="J59" i="7" s="1"/>
  <c r="D59" i="7"/>
  <c r="E59" i="7"/>
  <c r="A61" i="7"/>
  <c r="G60" i="7"/>
  <c r="F60" i="7"/>
  <c r="N152" i="1"/>
  <c r="D158" i="1"/>
  <c r="D216" i="1"/>
  <c r="L206" i="1"/>
  <c r="H206" i="1"/>
  <c r="D206" i="1"/>
  <c r="C194" i="1"/>
  <c r="D185" i="1"/>
  <c r="T194" i="1" s="1"/>
  <c r="C136" i="1"/>
  <c r="D132" i="1"/>
  <c r="T143" i="1" s="1"/>
  <c r="C119" i="1"/>
  <c r="S118" i="1"/>
  <c r="E94" i="1"/>
  <c r="E155" i="1" s="1"/>
  <c r="E188" i="1" s="1"/>
  <c r="F94" i="1"/>
  <c r="F155" i="1" s="1"/>
  <c r="F188" i="1" s="1"/>
  <c r="G94" i="1"/>
  <c r="G155" i="1" s="1"/>
  <c r="G188" i="1" s="1"/>
  <c r="D94" i="1"/>
  <c r="D155" i="1" s="1"/>
  <c r="D188" i="1" s="1"/>
  <c r="C85" i="1"/>
  <c r="C84" i="1"/>
  <c r="C83" i="1"/>
  <c r="D91" i="1"/>
  <c r="T91" i="1" s="1"/>
  <c r="D82" i="1"/>
  <c r="E82" i="1" s="1"/>
  <c r="H77" i="1"/>
  <c r="D77" i="1"/>
  <c r="C70" i="1"/>
  <c r="S69" i="1"/>
  <c r="C64" i="1"/>
  <c r="C63" i="1"/>
  <c r="C62" i="1"/>
  <c r="C55" i="1"/>
  <c r="C54" i="1"/>
  <c r="C53" i="1"/>
  <c r="C47" i="1"/>
  <c r="C46" i="1"/>
  <c r="C45" i="1"/>
  <c r="C39" i="1"/>
  <c r="C38" i="1"/>
  <c r="C37" i="1"/>
  <c r="D61" i="1"/>
  <c r="D38" i="1" s="1"/>
  <c r="D52" i="1"/>
  <c r="E52" i="1" s="1"/>
  <c r="F52" i="1" s="1"/>
  <c r="G52" i="1" s="1"/>
  <c r="H52" i="1" s="1"/>
  <c r="I52" i="1" s="1"/>
  <c r="J52" i="1" s="1"/>
  <c r="K52" i="1" s="1"/>
  <c r="M52" i="1" s="1"/>
  <c r="N52" i="1" s="1"/>
  <c r="O52" i="1" s="1"/>
  <c r="P52" i="1" s="1"/>
  <c r="D44" i="1"/>
  <c r="E44" i="1" s="1"/>
  <c r="F44" i="1" s="1"/>
  <c r="G44" i="1" s="1"/>
  <c r="H44" i="1" s="1"/>
  <c r="I44" i="1" s="1"/>
  <c r="J44" i="1" s="1"/>
  <c r="K44" i="1" s="1"/>
  <c r="M44" i="1" s="1"/>
  <c r="N44" i="1" s="1"/>
  <c r="O44" i="1" s="1"/>
  <c r="P44" i="1" s="1"/>
  <c r="D36" i="1"/>
  <c r="E36" i="1" s="1"/>
  <c r="F36" i="1" s="1"/>
  <c r="G36" i="1" s="1"/>
  <c r="H36" i="1" s="1"/>
  <c r="I36" i="1" s="1"/>
  <c r="J36" i="1" s="1"/>
  <c r="K36" i="1" s="1"/>
  <c r="M36" i="1" s="1"/>
  <c r="N36" i="1" s="1"/>
  <c r="O36" i="1" s="1"/>
  <c r="P36" i="1" s="1"/>
  <c r="C22" i="1"/>
  <c r="S21" i="1"/>
  <c r="I59" i="7" l="1"/>
  <c r="H59" i="7"/>
  <c r="B61" i="7"/>
  <c r="E60" i="7"/>
  <c r="D60" i="7"/>
  <c r="C60" i="7"/>
  <c r="J60" i="7" s="1"/>
  <c r="A62" i="7"/>
  <c r="F61" i="7"/>
  <c r="G61" i="7"/>
  <c r="O152" i="1"/>
  <c r="F158" i="1"/>
  <c r="D217" i="1"/>
  <c r="T243" i="1"/>
  <c r="E216" i="1"/>
  <c r="E217" i="1" s="1"/>
  <c r="D219" i="1"/>
  <c r="D218" i="1"/>
  <c r="T197" i="1"/>
  <c r="S47" i="1"/>
  <c r="C145" i="1"/>
  <c r="S46" i="1"/>
  <c r="C144" i="1"/>
  <c r="S45" i="1"/>
  <c r="C143" i="1"/>
  <c r="S92" i="1"/>
  <c r="C94" i="1"/>
  <c r="C93" i="1"/>
  <c r="C134" i="1" s="1"/>
  <c r="S145" i="1" s="1"/>
  <c r="F82" i="1"/>
  <c r="E185" i="1"/>
  <c r="F185" i="1" s="1"/>
  <c r="G185" i="1" s="1"/>
  <c r="H185" i="1" s="1"/>
  <c r="D39" i="1"/>
  <c r="D64" i="1" s="1"/>
  <c r="T44" i="1"/>
  <c r="D37" i="1"/>
  <c r="D62" i="1" s="1"/>
  <c r="G92" i="1"/>
  <c r="G153" i="1" s="1"/>
  <c r="G186" i="1" s="1"/>
  <c r="F92" i="1"/>
  <c r="F153" i="1" s="1"/>
  <c r="F186" i="1" s="1"/>
  <c r="E92" i="1"/>
  <c r="E153" i="1" s="1"/>
  <c r="E186" i="1" s="1"/>
  <c r="E132" i="1"/>
  <c r="F132" i="1" s="1"/>
  <c r="G132" i="1" s="1"/>
  <c r="H132" i="1" s="1"/>
  <c r="C92" i="1"/>
  <c r="C133" i="1" s="1"/>
  <c r="S144" i="1" s="1"/>
  <c r="S94" i="1"/>
  <c r="S93" i="1"/>
  <c r="G93" i="1"/>
  <c r="G154" i="1" s="1"/>
  <c r="G187" i="1" s="1"/>
  <c r="E93" i="1"/>
  <c r="E154" i="1" s="1"/>
  <c r="E187" i="1" s="1"/>
  <c r="F93" i="1"/>
  <c r="F154" i="1" s="1"/>
  <c r="F187" i="1" s="1"/>
  <c r="D92" i="1"/>
  <c r="D153" i="1" s="1"/>
  <c r="D186" i="1" s="1"/>
  <c r="D93" i="1"/>
  <c r="D154" i="1" s="1"/>
  <c r="D187" i="1" s="1"/>
  <c r="T94" i="1"/>
  <c r="E91" i="1"/>
  <c r="F91" i="1" s="1"/>
  <c r="G91" i="1" s="1"/>
  <c r="H91" i="1" s="1"/>
  <c r="D63" i="1"/>
  <c r="D144" i="1" s="1"/>
  <c r="E61" i="1"/>
  <c r="A63" i="7" l="1"/>
  <c r="F62" i="7"/>
  <c r="G62" i="7"/>
  <c r="H60" i="7"/>
  <c r="B62" i="7"/>
  <c r="D61" i="7"/>
  <c r="H61" i="7" s="1"/>
  <c r="E61" i="7"/>
  <c r="C61" i="7"/>
  <c r="J61" i="7" s="1"/>
  <c r="I60" i="7"/>
  <c r="P152" i="1"/>
  <c r="J158" i="1" s="1"/>
  <c r="H158" i="1"/>
  <c r="E218" i="1"/>
  <c r="F216" i="1"/>
  <c r="F218" i="1" s="1"/>
  <c r="E219" i="1"/>
  <c r="G189" i="1"/>
  <c r="E189" i="1"/>
  <c r="T196" i="1"/>
  <c r="T195" i="1"/>
  <c r="D189" i="1"/>
  <c r="H179" i="1"/>
  <c r="C187" i="1" s="1"/>
  <c r="C154" i="1"/>
  <c r="D179" i="1"/>
  <c r="C186" i="1" s="1"/>
  <c r="C153" i="1"/>
  <c r="L179" i="1"/>
  <c r="C188" i="1" s="1"/>
  <c r="C155" i="1"/>
  <c r="F189" i="1"/>
  <c r="C135" i="1"/>
  <c r="S146" i="1" s="1"/>
  <c r="D133" i="1"/>
  <c r="D143" i="1"/>
  <c r="D135" i="1"/>
  <c r="D145" i="1"/>
  <c r="G82" i="1"/>
  <c r="U194" i="1"/>
  <c r="I185" i="1"/>
  <c r="J185" i="1" s="1"/>
  <c r="K185" i="1" s="1"/>
  <c r="M185" i="1" s="1"/>
  <c r="D220" i="1"/>
  <c r="F95" i="1"/>
  <c r="G95" i="1"/>
  <c r="E95" i="1"/>
  <c r="D65" i="1"/>
  <c r="D146" i="1" s="1"/>
  <c r="D134" i="1"/>
  <c r="I132" i="1"/>
  <c r="J132" i="1" s="1"/>
  <c r="K132" i="1" s="1"/>
  <c r="M132" i="1" s="1"/>
  <c r="U143" i="1"/>
  <c r="D95" i="1"/>
  <c r="T92" i="1"/>
  <c r="T93" i="1"/>
  <c r="U91" i="1"/>
  <c r="I91" i="1"/>
  <c r="J91" i="1" s="1"/>
  <c r="K91" i="1" s="1"/>
  <c r="M91" i="1" s="1"/>
  <c r="E39" i="1"/>
  <c r="E64" i="1" s="1"/>
  <c r="E38" i="1"/>
  <c r="E63" i="1" s="1"/>
  <c r="E37" i="1"/>
  <c r="E62" i="1" s="1"/>
  <c r="F61" i="1"/>
  <c r="A64" i="7" l="1"/>
  <c r="F63" i="7"/>
  <c r="G63" i="7"/>
  <c r="I61" i="7"/>
  <c r="B63" i="7"/>
  <c r="E62" i="7"/>
  <c r="C62" i="7"/>
  <c r="J62" i="7" s="1"/>
  <c r="D62" i="7"/>
  <c r="E220" i="1"/>
  <c r="E520" i="1" s="1"/>
  <c r="F219" i="1"/>
  <c r="F217" i="1"/>
  <c r="D461" i="1"/>
  <c r="D464" i="1" s="1"/>
  <c r="C16" i="2"/>
  <c r="E461" i="1"/>
  <c r="E464" i="1" s="1"/>
  <c r="D520" i="1"/>
  <c r="D529" i="1" s="1"/>
  <c r="C118" i="2" s="1"/>
  <c r="F156" i="1"/>
  <c r="E15" i="2" s="1"/>
  <c r="F519" i="1"/>
  <c r="F528" i="1" s="1"/>
  <c r="E117" i="2" s="1"/>
  <c r="G156" i="1"/>
  <c r="F15" i="2" s="1"/>
  <c r="F86" i="2" s="1"/>
  <c r="G519" i="1"/>
  <c r="G528" i="1" s="1"/>
  <c r="F117" i="2" s="1"/>
  <c r="S117" i="2" s="1"/>
  <c r="E156" i="1"/>
  <c r="D15" i="2" s="1"/>
  <c r="E519" i="1"/>
  <c r="E528" i="1" s="1"/>
  <c r="D156" i="1"/>
  <c r="C15" i="2" s="1"/>
  <c r="D519" i="1"/>
  <c r="D528" i="1" s="1"/>
  <c r="C117" i="2" s="1"/>
  <c r="G216" i="1"/>
  <c r="G218" i="1" s="1"/>
  <c r="T245" i="1" s="1"/>
  <c r="T198" i="1"/>
  <c r="S195" i="1"/>
  <c r="D195" i="1"/>
  <c r="C217" i="1" s="1"/>
  <c r="S244" i="1" s="1"/>
  <c r="S197" i="1"/>
  <c r="L195" i="1"/>
  <c r="C219" i="1" s="1"/>
  <c r="S246" i="1" s="1"/>
  <c r="S196" i="1"/>
  <c r="H195" i="1"/>
  <c r="C218" i="1" s="1"/>
  <c r="S245" i="1" s="1"/>
  <c r="E134" i="1"/>
  <c r="E144" i="1"/>
  <c r="E135" i="1"/>
  <c r="E145" i="1"/>
  <c r="E133" i="1"/>
  <c r="E143" i="1"/>
  <c r="H82" i="1"/>
  <c r="N185" i="1"/>
  <c r="O185" i="1" s="1"/>
  <c r="P185" i="1" s="1"/>
  <c r="V194" i="1"/>
  <c r="W194" i="1" s="1"/>
  <c r="X194" i="1" s="1"/>
  <c r="Y194" i="1" s="1"/>
  <c r="D136" i="1"/>
  <c r="T95" i="1"/>
  <c r="N132" i="1"/>
  <c r="O132" i="1" s="1"/>
  <c r="P132" i="1" s="1"/>
  <c r="V143" i="1"/>
  <c r="W143" i="1" s="1"/>
  <c r="X143" i="1" s="1"/>
  <c r="Y143" i="1" s="1"/>
  <c r="V91" i="1"/>
  <c r="W91" i="1" s="1"/>
  <c r="X91" i="1" s="1"/>
  <c r="Y91" i="1" s="1"/>
  <c r="N91" i="1"/>
  <c r="O91" i="1" s="1"/>
  <c r="P91" i="1" s="1"/>
  <c r="F39" i="1"/>
  <c r="F64" i="1" s="1"/>
  <c r="F38" i="1"/>
  <c r="F63" i="1" s="1"/>
  <c r="F37" i="1"/>
  <c r="F62" i="1" s="1"/>
  <c r="E65" i="1"/>
  <c r="E146" i="1" s="1"/>
  <c r="G61" i="1"/>
  <c r="I62" i="7" l="1"/>
  <c r="H62" i="7"/>
  <c r="A65" i="7"/>
  <c r="G64" i="7"/>
  <c r="F64" i="7"/>
  <c r="B64" i="7"/>
  <c r="D63" i="7"/>
  <c r="E63" i="7"/>
  <c r="C63" i="7"/>
  <c r="J63" i="7" s="1"/>
  <c r="E533" i="1"/>
  <c r="D123" i="2" s="1"/>
  <c r="D124" i="2" s="1"/>
  <c r="E529" i="1"/>
  <c r="D118" i="2" s="1"/>
  <c r="D16" i="2"/>
  <c r="D87" i="2" s="1"/>
  <c r="F220" i="1"/>
  <c r="F520" i="1" s="1"/>
  <c r="F529" i="1" s="1"/>
  <c r="E118" i="2" s="1"/>
  <c r="D533" i="1"/>
  <c r="F540" i="1"/>
  <c r="D117" i="2"/>
  <c r="E86" i="2"/>
  <c r="D86" i="2"/>
  <c r="C87" i="2"/>
  <c r="T15" i="2"/>
  <c r="C50" i="3" s="1"/>
  <c r="C86" i="2"/>
  <c r="D540" i="1"/>
  <c r="E540" i="1"/>
  <c r="H216" i="1"/>
  <c r="G540" i="1"/>
  <c r="G217" i="1"/>
  <c r="T244" i="1" s="1"/>
  <c r="G219" i="1"/>
  <c r="T246" i="1" s="1"/>
  <c r="D541" i="1"/>
  <c r="D530" i="1"/>
  <c r="E136" i="1"/>
  <c r="F135" i="1"/>
  <c r="F145" i="1"/>
  <c r="F134" i="1"/>
  <c r="F144" i="1"/>
  <c r="F133" i="1"/>
  <c r="F143" i="1"/>
  <c r="I82" i="1"/>
  <c r="G39" i="1"/>
  <c r="G64" i="1" s="1"/>
  <c r="G145" i="1" s="1"/>
  <c r="G38" i="1"/>
  <c r="G63" i="1" s="1"/>
  <c r="G144" i="1" s="1"/>
  <c r="G37" i="1"/>
  <c r="G62" i="1" s="1"/>
  <c r="G143" i="1" s="1"/>
  <c r="F65" i="1"/>
  <c r="F146" i="1" s="1"/>
  <c r="H61" i="1"/>
  <c r="D88" i="2" l="1"/>
  <c r="D137" i="2" s="1"/>
  <c r="A66" i="7"/>
  <c r="F65" i="7"/>
  <c r="G65" i="7"/>
  <c r="I63" i="7"/>
  <c r="H63" i="7"/>
  <c r="B65" i="7"/>
  <c r="C64" i="7"/>
  <c r="J64" i="7" s="1"/>
  <c r="D64" i="7"/>
  <c r="H64" i="7" s="1"/>
  <c r="E64" i="7"/>
  <c r="I64" i="7" s="1"/>
  <c r="E534" i="1"/>
  <c r="E541" i="1"/>
  <c r="E542" i="1"/>
  <c r="E530" i="1"/>
  <c r="D534" i="1"/>
  <c r="D536" i="1" s="1"/>
  <c r="D537" i="1" s="1"/>
  <c r="C18" i="2" s="1"/>
  <c r="E16" i="2"/>
  <c r="E87" i="2" s="1"/>
  <c r="E88" i="2" s="1"/>
  <c r="F530" i="1"/>
  <c r="F461" i="1"/>
  <c r="F464" i="1" s="1"/>
  <c r="F541" i="1"/>
  <c r="F533" i="1"/>
  <c r="E123" i="2" s="1"/>
  <c r="E124" i="2" s="1"/>
  <c r="D542" i="1"/>
  <c r="D543" i="1" s="1"/>
  <c r="C123" i="2"/>
  <c r="C124" i="2" s="1"/>
  <c r="I216" i="1"/>
  <c r="C88" i="2"/>
  <c r="C137" i="2" s="1"/>
  <c r="S86" i="2"/>
  <c r="T247" i="1"/>
  <c r="G220" i="1"/>
  <c r="F16" i="2" s="1"/>
  <c r="F87" i="2" s="1"/>
  <c r="F88" i="2" s="1"/>
  <c r="F137" i="2" s="1"/>
  <c r="U243" i="1"/>
  <c r="E536" i="1"/>
  <c r="F136" i="1"/>
  <c r="J82" i="1"/>
  <c r="T46" i="1"/>
  <c r="G134" i="1"/>
  <c r="T47" i="1"/>
  <c r="G135" i="1"/>
  <c r="T146" i="1" s="1"/>
  <c r="T45" i="1"/>
  <c r="G133" i="1"/>
  <c r="T144" i="1" s="1"/>
  <c r="H39" i="1"/>
  <c r="H64" i="1" s="1"/>
  <c r="H38" i="1"/>
  <c r="H63" i="1" s="1"/>
  <c r="H37" i="1"/>
  <c r="H62" i="1" s="1"/>
  <c r="G65" i="1"/>
  <c r="G146" i="1" s="1"/>
  <c r="I61" i="1"/>
  <c r="U44" i="1"/>
  <c r="D92" i="2" l="1"/>
  <c r="D95" i="2" s="1"/>
  <c r="D89" i="2"/>
  <c r="B66" i="7"/>
  <c r="C65" i="7"/>
  <c r="J65" i="7" s="1"/>
  <c r="E65" i="7"/>
  <c r="I65" i="7" s="1"/>
  <c r="D65" i="7"/>
  <c r="H65" i="7" s="1"/>
  <c r="A67" i="7"/>
  <c r="G66" i="7"/>
  <c r="F66" i="7"/>
  <c r="E543" i="1"/>
  <c r="F542" i="1"/>
  <c r="F543" i="1" s="1"/>
  <c r="E92" i="2"/>
  <c r="E137" i="2"/>
  <c r="S137" i="2" s="1"/>
  <c r="F534" i="1"/>
  <c r="F536" i="1" s="1"/>
  <c r="F537" i="1" s="1"/>
  <c r="E18" i="2" s="1"/>
  <c r="E89" i="2"/>
  <c r="J216" i="1"/>
  <c r="S87" i="2"/>
  <c r="T16" i="2"/>
  <c r="C89" i="2"/>
  <c r="S88" i="2"/>
  <c r="S89" i="2" s="1"/>
  <c r="C92" i="2"/>
  <c r="C138" i="2" s="1"/>
  <c r="F92" i="2"/>
  <c r="F89" i="2"/>
  <c r="G461" i="1"/>
  <c r="G520" i="1"/>
  <c r="E537" i="1"/>
  <c r="D18" i="2" s="1"/>
  <c r="H144" i="1"/>
  <c r="H143" i="1"/>
  <c r="H145" i="1"/>
  <c r="K82" i="1"/>
  <c r="T48" i="1"/>
  <c r="G136" i="1"/>
  <c r="T145" i="1"/>
  <c r="T147" i="1" s="1"/>
  <c r="I39" i="1"/>
  <c r="I64" i="1" s="1"/>
  <c r="I38" i="1"/>
  <c r="I63" i="1" s="1"/>
  <c r="I37" i="1"/>
  <c r="I62" i="1" s="1"/>
  <c r="H65" i="1"/>
  <c r="H146" i="1" s="1"/>
  <c r="J61" i="1"/>
  <c r="D138" i="2" l="1"/>
  <c r="B67" i="7"/>
  <c r="D66" i="7"/>
  <c r="C66" i="7"/>
  <c r="J66" i="7" s="1"/>
  <c r="E66" i="7"/>
  <c r="I66" i="7" s="1"/>
  <c r="A68" i="7"/>
  <c r="G67" i="7"/>
  <c r="F67" i="7"/>
  <c r="H66" i="7"/>
  <c r="F95" i="2"/>
  <c r="F138" i="2"/>
  <c r="E95" i="2"/>
  <c r="E138" i="2"/>
  <c r="D98" i="2"/>
  <c r="D139" i="2"/>
  <c r="K216" i="1"/>
  <c r="M216" i="1" s="1"/>
  <c r="C95" i="2"/>
  <c r="C139" i="2" s="1"/>
  <c r="S92" i="2"/>
  <c r="G464" i="1"/>
  <c r="T477" i="1"/>
  <c r="T480" i="1" s="1"/>
  <c r="G529" i="1"/>
  <c r="F118" i="2" s="1"/>
  <c r="S118" i="2" s="1"/>
  <c r="G533" i="1"/>
  <c r="F123" i="2" s="1"/>
  <c r="I143" i="1"/>
  <c r="I144" i="1"/>
  <c r="I145" i="1"/>
  <c r="M82" i="1"/>
  <c r="J39" i="1"/>
  <c r="J64" i="1" s="1"/>
  <c r="J37" i="1"/>
  <c r="J62" i="1" s="1"/>
  <c r="J38" i="1"/>
  <c r="J63" i="1" s="1"/>
  <c r="I65" i="1"/>
  <c r="I146" i="1" s="1"/>
  <c r="K61" i="1"/>
  <c r="A69" i="7" l="1"/>
  <c r="G68" i="7"/>
  <c r="F68" i="7"/>
  <c r="B68" i="7"/>
  <c r="C67" i="7"/>
  <c r="J67" i="7" s="1"/>
  <c r="E67" i="7"/>
  <c r="I67" i="7" s="1"/>
  <c r="D67" i="7"/>
  <c r="H67" i="7" s="1"/>
  <c r="S138" i="2"/>
  <c r="C51" i="3" s="1"/>
  <c r="E98" i="2"/>
  <c r="E139" i="2"/>
  <c r="D140" i="2"/>
  <c r="D100" i="2"/>
  <c r="D19" i="2" s="1"/>
  <c r="D20" i="2" s="1"/>
  <c r="D27" i="2" s="1"/>
  <c r="F98" i="2"/>
  <c r="F139" i="2"/>
  <c r="S123" i="2"/>
  <c r="F124" i="2"/>
  <c r="S124" i="2" s="1"/>
  <c r="C98" i="2"/>
  <c r="S95" i="2"/>
  <c r="G541" i="1"/>
  <c r="G530" i="1"/>
  <c r="G542" i="1"/>
  <c r="G534" i="1"/>
  <c r="J143" i="1"/>
  <c r="J145" i="1"/>
  <c r="J144" i="1"/>
  <c r="N82" i="1"/>
  <c r="N216" i="1"/>
  <c r="V243" i="1"/>
  <c r="K39" i="1"/>
  <c r="K64" i="1" s="1"/>
  <c r="K145" i="1" s="1"/>
  <c r="K38" i="1"/>
  <c r="K63" i="1" s="1"/>
  <c r="K144" i="1" s="1"/>
  <c r="K37" i="1"/>
  <c r="K62" i="1" s="1"/>
  <c r="J65" i="1"/>
  <c r="J146" i="1" s="1"/>
  <c r="M61" i="1"/>
  <c r="B69" i="7" l="1"/>
  <c r="E68" i="7"/>
  <c r="I68" i="7" s="1"/>
  <c r="C68" i="7"/>
  <c r="J68" i="7" s="1"/>
  <c r="D68" i="7"/>
  <c r="H68" i="7" s="1"/>
  <c r="A70" i="7"/>
  <c r="G69" i="7"/>
  <c r="F69" i="7"/>
  <c r="F100" i="2"/>
  <c r="F19" i="2" s="1"/>
  <c r="F140" i="2"/>
  <c r="E140" i="2"/>
  <c r="E100" i="2"/>
  <c r="E19" i="2" s="1"/>
  <c r="E20" i="2" s="1"/>
  <c r="D36" i="2"/>
  <c r="C100" i="2"/>
  <c r="C19" i="2" s="1"/>
  <c r="C20" i="2" s="1"/>
  <c r="C140" i="2"/>
  <c r="S139" i="2"/>
  <c r="D101" i="2"/>
  <c r="D141" i="2" s="1"/>
  <c r="S98" i="2"/>
  <c r="G536" i="1"/>
  <c r="G543" i="1"/>
  <c r="K143" i="1"/>
  <c r="O82" i="1"/>
  <c r="O216" i="1"/>
  <c r="W243" i="1"/>
  <c r="U46" i="1"/>
  <c r="U47" i="1"/>
  <c r="M37" i="1"/>
  <c r="M62" i="1" s="1"/>
  <c r="M38" i="1"/>
  <c r="M63" i="1" s="1"/>
  <c r="M144" i="1" s="1"/>
  <c r="M39" i="1"/>
  <c r="M64" i="1" s="1"/>
  <c r="M145" i="1" s="1"/>
  <c r="K65" i="1"/>
  <c r="K146" i="1" s="1"/>
  <c r="U45" i="1"/>
  <c r="N61" i="1"/>
  <c r="V44" i="1"/>
  <c r="W44" i="1" s="1"/>
  <c r="X44" i="1" s="1"/>
  <c r="Y44" i="1" s="1"/>
  <c r="A71" i="7" l="1"/>
  <c r="G70" i="7"/>
  <c r="F70" i="7"/>
  <c r="B70" i="7"/>
  <c r="D69" i="7"/>
  <c r="H69" i="7" s="1"/>
  <c r="C69" i="7"/>
  <c r="J69" i="7" s="1"/>
  <c r="E69" i="7"/>
  <c r="I69" i="7" s="1"/>
  <c r="S160" i="2"/>
  <c r="C52" i="3"/>
  <c r="E101" i="2"/>
  <c r="E141" i="2" s="1"/>
  <c r="F101" i="2"/>
  <c r="F141" i="2" s="1"/>
  <c r="E36" i="2"/>
  <c r="E27" i="2"/>
  <c r="S100" i="2"/>
  <c r="S161" i="2" s="1"/>
  <c r="T19" i="2"/>
  <c r="S140" i="2"/>
  <c r="C27" i="2"/>
  <c r="C28" i="2" s="1"/>
  <c r="D28" i="2" s="1"/>
  <c r="C36" i="2"/>
  <c r="C38" i="2" s="1"/>
  <c r="C101" i="2"/>
  <c r="G537" i="1"/>
  <c r="F18" i="2" s="1"/>
  <c r="M143" i="1"/>
  <c r="P82" i="1"/>
  <c r="P216" i="1"/>
  <c r="X243" i="1"/>
  <c r="V46" i="1"/>
  <c r="U48" i="1"/>
  <c r="V47" i="1"/>
  <c r="N38" i="1"/>
  <c r="N63" i="1" s="1"/>
  <c r="N144" i="1" s="1"/>
  <c r="N37" i="1"/>
  <c r="N62" i="1" s="1"/>
  <c r="N39" i="1"/>
  <c r="N64" i="1" s="1"/>
  <c r="N145" i="1" s="1"/>
  <c r="M65" i="1"/>
  <c r="M146" i="1" s="1"/>
  <c r="V45" i="1"/>
  <c r="O61" i="1"/>
  <c r="B71" i="7" l="1"/>
  <c r="C70" i="7"/>
  <c r="J70" i="7" s="1"/>
  <c r="D70" i="7"/>
  <c r="H70" i="7" s="1"/>
  <c r="E70" i="7"/>
  <c r="I70" i="7" s="1"/>
  <c r="A72" i="7"/>
  <c r="F71" i="7"/>
  <c r="G71" i="7"/>
  <c r="S101" i="2"/>
  <c r="C141" i="2"/>
  <c r="S141" i="2" s="1"/>
  <c r="E28" i="2"/>
  <c r="D12" i="2"/>
  <c r="D38" i="2" s="1"/>
  <c r="C114" i="2"/>
  <c r="C119" i="2" s="1"/>
  <c r="C125" i="2" s="1"/>
  <c r="C126" i="2" s="1"/>
  <c r="F20" i="2"/>
  <c r="T18" i="2"/>
  <c r="S164" i="2" s="1"/>
  <c r="S166" i="2" s="1"/>
  <c r="N143" i="1"/>
  <c r="Y243" i="1"/>
  <c r="V48" i="1"/>
  <c r="W47" i="1"/>
  <c r="W46" i="1"/>
  <c r="O38" i="1"/>
  <c r="O63" i="1" s="1"/>
  <c r="O144" i="1" s="1"/>
  <c r="O37" i="1"/>
  <c r="O62" i="1" s="1"/>
  <c r="O39" i="1"/>
  <c r="O64" i="1" s="1"/>
  <c r="O145" i="1" s="1"/>
  <c r="P61" i="1"/>
  <c r="N65" i="1"/>
  <c r="N146" i="1" s="1"/>
  <c r="W45" i="1"/>
  <c r="B72" i="7" l="1"/>
  <c r="D71" i="7"/>
  <c r="H71" i="7" s="1"/>
  <c r="E71" i="7"/>
  <c r="I71" i="7" s="1"/>
  <c r="C71" i="7"/>
  <c r="J71" i="7" s="1"/>
  <c r="A73" i="7"/>
  <c r="F72" i="7"/>
  <c r="G72" i="7"/>
  <c r="S170" i="2"/>
  <c r="C53" i="3"/>
  <c r="E12" i="2"/>
  <c r="E38" i="2" s="1"/>
  <c r="D114" i="2"/>
  <c r="D119" i="2" s="1"/>
  <c r="D125" i="2" s="1"/>
  <c r="D126" i="2" s="1"/>
  <c r="F27" i="2"/>
  <c r="F28" i="2" s="1"/>
  <c r="F36" i="2"/>
  <c r="T20" i="2"/>
  <c r="O143" i="1"/>
  <c r="W48" i="1"/>
  <c r="X47" i="1"/>
  <c r="X46" i="1"/>
  <c r="P38" i="1"/>
  <c r="P63" i="1" s="1"/>
  <c r="P144" i="1" s="1"/>
  <c r="P39" i="1"/>
  <c r="P64" i="1" s="1"/>
  <c r="P145" i="1" s="1"/>
  <c r="P37" i="1"/>
  <c r="P62" i="1" s="1"/>
  <c r="O65" i="1"/>
  <c r="O146" i="1" s="1"/>
  <c r="X45" i="1"/>
  <c r="A74" i="7" l="1"/>
  <c r="G73" i="7"/>
  <c r="F73" i="7"/>
  <c r="B73" i="7"/>
  <c r="D72" i="7"/>
  <c r="H72" i="7" s="1"/>
  <c r="E72" i="7"/>
  <c r="I72" i="7" s="1"/>
  <c r="C72" i="7"/>
  <c r="J72" i="7" s="1"/>
  <c r="C55" i="3"/>
  <c r="F12" i="2"/>
  <c r="F38" i="2" s="1"/>
  <c r="F114" i="2" s="1"/>
  <c r="E114" i="2"/>
  <c r="E119" i="2" s="1"/>
  <c r="E125" i="2" s="1"/>
  <c r="E126" i="2" s="1"/>
  <c r="T36" i="2"/>
  <c r="AD27" i="2" s="1"/>
  <c r="AD54" i="2"/>
  <c r="AD55" i="2" s="1"/>
  <c r="T27" i="2"/>
  <c r="T28" i="2" s="1"/>
  <c r="P143" i="1"/>
  <c r="Y46" i="1"/>
  <c r="Y47" i="1"/>
  <c r="X48" i="1"/>
  <c r="Y45" i="1"/>
  <c r="P65" i="1"/>
  <c r="P146" i="1" s="1"/>
  <c r="A75" i="7" l="1"/>
  <c r="G74" i="7"/>
  <c r="F74" i="7"/>
  <c r="B74" i="7"/>
  <c r="C73" i="7"/>
  <c r="J73" i="7" s="1"/>
  <c r="E73" i="7"/>
  <c r="I73" i="7" s="1"/>
  <c r="D73" i="7"/>
  <c r="H73" i="7" s="1"/>
  <c r="S114" i="2"/>
  <c r="F119" i="2"/>
  <c r="T38" i="2"/>
  <c r="AD28" i="2" s="1"/>
  <c r="G12" i="2"/>
  <c r="Y48" i="1"/>
  <c r="B75" i="7" l="1"/>
  <c r="E74" i="7"/>
  <c r="I74" i="7" s="1"/>
  <c r="D74" i="7"/>
  <c r="C74" i="7"/>
  <c r="J74" i="7" s="1"/>
  <c r="H74" i="7"/>
  <c r="G18" i="7"/>
  <c r="I18" i="7" s="1"/>
  <c r="N85" i="1"/>
  <c r="K83" i="1"/>
  <c r="I83" i="1"/>
  <c r="G19" i="7"/>
  <c r="I19" i="7" s="1"/>
  <c r="F16" i="7"/>
  <c r="H16" i="7" s="1"/>
  <c r="G17" i="7"/>
  <c r="I17" i="7" s="1"/>
  <c r="O85" i="1"/>
  <c r="N84" i="1"/>
  <c r="F17" i="7"/>
  <c r="H17" i="7" s="1"/>
  <c r="F18" i="7"/>
  <c r="H18" i="7" s="1"/>
  <c r="H83" i="1"/>
  <c r="N83" i="1"/>
  <c r="M83" i="1"/>
  <c r="M85" i="1"/>
  <c r="F19" i="7"/>
  <c r="H19" i="7" s="1"/>
  <c r="O83" i="1"/>
  <c r="O84" i="1"/>
  <c r="G16" i="7"/>
  <c r="I16" i="7" s="1"/>
  <c r="M84" i="1"/>
  <c r="G20" i="7"/>
  <c r="I20" i="7" s="1"/>
  <c r="G21" i="7"/>
  <c r="I21" i="7" s="1"/>
  <c r="G22" i="7"/>
  <c r="I22" i="7" s="1"/>
  <c r="F20" i="7"/>
  <c r="H20" i="7" s="1"/>
  <c r="F22" i="7"/>
  <c r="H22" i="7" s="1"/>
  <c r="F21" i="7"/>
  <c r="H21" i="7" s="1"/>
  <c r="G23" i="7"/>
  <c r="I23" i="7" s="1"/>
  <c r="G25" i="7"/>
  <c r="I25" i="7" s="1"/>
  <c r="F24" i="7"/>
  <c r="H24" i="7" s="1"/>
  <c r="F23" i="7"/>
  <c r="H23" i="7" s="1"/>
  <c r="F26" i="7"/>
  <c r="H26" i="7" s="1"/>
  <c r="G24" i="7"/>
  <c r="I24" i="7" s="1"/>
  <c r="F25" i="7"/>
  <c r="H25" i="7" s="1"/>
  <c r="G26" i="7"/>
  <c r="I26" i="7" s="1"/>
  <c r="G27" i="7"/>
  <c r="I27" i="7" s="1"/>
  <c r="F27" i="7"/>
  <c r="H27" i="7" s="1"/>
  <c r="F75" i="7"/>
  <c r="G75" i="7"/>
  <c r="S119" i="2"/>
  <c r="F125" i="2"/>
  <c r="U12" i="2"/>
  <c r="L17" i="7" l="1"/>
  <c r="L18" i="7" s="1"/>
  <c r="L19" i="7" s="1"/>
  <c r="L20" i="7" s="1"/>
  <c r="L21" i="7" s="1"/>
  <c r="L22" i="7" s="1"/>
  <c r="L23" i="7" s="1"/>
  <c r="L24" i="7" s="1"/>
  <c r="L25" i="7" s="1"/>
  <c r="L26" i="7" s="1"/>
  <c r="L27" i="7" s="1"/>
  <c r="L28" i="7" s="1"/>
  <c r="L29" i="7" s="1"/>
  <c r="L30" i="7" s="1"/>
  <c r="L31" i="7" s="1"/>
  <c r="L32" i="7" s="1"/>
  <c r="L33" i="7" s="1"/>
  <c r="L34" i="7" s="1"/>
  <c r="L35" i="7" s="1"/>
  <c r="L36" i="7" s="1"/>
  <c r="L37" i="7" s="1"/>
  <c r="L38" i="7" s="1"/>
  <c r="L39" i="7" s="1"/>
  <c r="L40" i="7" s="1"/>
  <c r="L41" i="7" s="1"/>
  <c r="L42" i="7" s="1"/>
  <c r="L43" i="7" s="1"/>
  <c r="L44" i="7" s="1"/>
  <c r="L45" i="7" s="1"/>
  <c r="L46" i="7" s="1"/>
  <c r="L47" i="7" s="1"/>
  <c r="L48" i="7" s="1"/>
  <c r="L49" i="7" s="1"/>
  <c r="L50" i="7" s="1"/>
  <c r="L51" i="7" s="1"/>
  <c r="L52" i="7" s="1"/>
  <c r="L53" i="7" s="1"/>
  <c r="L54" i="7" s="1"/>
  <c r="L55" i="7" s="1"/>
  <c r="L56" i="7" s="1"/>
  <c r="L57" i="7" s="1"/>
  <c r="L58" i="7" s="1"/>
  <c r="L59" i="7" s="1"/>
  <c r="L60" i="7" s="1"/>
  <c r="L61" i="7" s="1"/>
  <c r="L62" i="7" s="1"/>
  <c r="L63" i="7" s="1"/>
  <c r="L64" i="7" s="1"/>
  <c r="L65" i="7" s="1"/>
  <c r="L66" i="7" s="1"/>
  <c r="L67" i="7" s="1"/>
  <c r="L68" i="7" s="1"/>
  <c r="L69" i="7" s="1"/>
  <c r="L70" i="7" s="1"/>
  <c r="L71" i="7" s="1"/>
  <c r="L72" i="7" s="1"/>
  <c r="L73" i="7" s="1"/>
  <c r="L74" i="7" s="1"/>
  <c r="K17" i="7"/>
  <c r="K18" i="7" s="1"/>
  <c r="K19" i="7" s="1"/>
  <c r="K20" i="7" s="1"/>
  <c r="K21" i="7" s="1"/>
  <c r="K22" i="7" s="1"/>
  <c r="K23" i="7" s="1"/>
  <c r="K24" i="7" s="1"/>
  <c r="K25" i="7" s="1"/>
  <c r="K26" i="7" s="1"/>
  <c r="K27" i="7" s="1"/>
  <c r="K28" i="7" s="1"/>
  <c r="K29" i="7" s="1"/>
  <c r="K30" i="7" s="1"/>
  <c r="K31" i="7" s="1"/>
  <c r="K32" i="7" s="1"/>
  <c r="K33" i="7" s="1"/>
  <c r="K34" i="7" s="1"/>
  <c r="K35" i="7" s="1"/>
  <c r="K36" i="7" s="1"/>
  <c r="K37" i="7" s="1"/>
  <c r="K38" i="7" s="1"/>
  <c r="K39" i="7" s="1"/>
  <c r="K40" i="7" s="1"/>
  <c r="K41" i="7" s="1"/>
  <c r="K42" i="7" s="1"/>
  <c r="K43" i="7" s="1"/>
  <c r="K44" i="7" s="1"/>
  <c r="K45" i="7" s="1"/>
  <c r="K46" i="7" s="1"/>
  <c r="K47" i="7" s="1"/>
  <c r="K48" i="7" s="1"/>
  <c r="K49" i="7" s="1"/>
  <c r="K50" i="7" s="1"/>
  <c r="K51" i="7" s="1"/>
  <c r="K52" i="7" s="1"/>
  <c r="K53" i="7" s="1"/>
  <c r="K54" i="7" s="1"/>
  <c r="K55" i="7" s="1"/>
  <c r="K56" i="7" s="1"/>
  <c r="K57" i="7" s="1"/>
  <c r="K58" i="7" s="1"/>
  <c r="K59" i="7" s="1"/>
  <c r="K60" i="7" s="1"/>
  <c r="K61" i="7" s="1"/>
  <c r="K62" i="7" s="1"/>
  <c r="K63" i="7" s="1"/>
  <c r="K64" i="7" s="1"/>
  <c r="K65" i="7" s="1"/>
  <c r="K66" i="7" s="1"/>
  <c r="K67" i="7" s="1"/>
  <c r="K68" i="7" s="1"/>
  <c r="K69" i="7" s="1"/>
  <c r="K70" i="7" s="1"/>
  <c r="K71" i="7" s="1"/>
  <c r="K72" i="7" s="1"/>
  <c r="K73" i="7" s="1"/>
  <c r="K74" i="7" s="1"/>
  <c r="J85" i="1"/>
  <c r="J219" i="1" s="1"/>
  <c r="H85" i="1"/>
  <c r="H94" i="1" s="1"/>
  <c r="N92" i="1"/>
  <c r="N217" i="1"/>
  <c r="O94" i="1"/>
  <c r="O219" i="1"/>
  <c r="X246" i="1" s="1"/>
  <c r="N94" i="1"/>
  <c r="N219" i="1"/>
  <c r="W246" i="1" s="1"/>
  <c r="M93" i="1"/>
  <c r="M218" i="1"/>
  <c r="V245" i="1" s="1"/>
  <c r="H92" i="1"/>
  <c r="H217" i="1"/>
  <c r="H84" i="1"/>
  <c r="O93" i="1"/>
  <c r="O218" i="1"/>
  <c r="X245" i="1" s="1"/>
  <c r="J84" i="1"/>
  <c r="O92" i="1"/>
  <c r="O217" i="1"/>
  <c r="I84" i="1"/>
  <c r="I85" i="1"/>
  <c r="M94" i="1"/>
  <c r="M219" i="1"/>
  <c r="V246" i="1" s="1"/>
  <c r="N93" i="1"/>
  <c r="N218" i="1"/>
  <c r="W245" i="1" s="1"/>
  <c r="I92" i="1"/>
  <c r="I217" i="1"/>
  <c r="E75" i="7"/>
  <c r="I75" i="7" s="1"/>
  <c r="D75" i="7"/>
  <c r="H75" i="7" s="1"/>
  <c r="C75" i="7"/>
  <c r="J83" i="1" s="1"/>
  <c r="K92" i="1"/>
  <c r="K217" i="1"/>
  <c r="F126" i="2"/>
  <c r="S125" i="2"/>
  <c r="S126" i="2" s="1"/>
  <c r="P83" i="1" l="1"/>
  <c r="P217" i="1" s="1"/>
  <c r="J94" i="1"/>
  <c r="J135" i="1" s="1"/>
  <c r="H219" i="1"/>
  <c r="K85" i="1"/>
  <c r="P85" i="1"/>
  <c r="H93" i="1"/>
  <c r="H95" i="1" s="1"/>
  <c r="H218" i="1"/>
  <c r="H220" i="1" s="1"/>
  <c r="V93" i="1"/>
  <c r="M154" i="1"/>
  <c r="M187" i="1" s="1"/>
  <c r="V196" i="1" s="1"/>
  <c r="M134" i="1"/>
  <c r="V145" i="1" s="1"/>
  <c r="I93" i="1"/>
  <c r="I218" i="1"/>
  <c r="K75" i="7"/>
  <c r="N155" i="1"/>
  <c r="N188" i="1" s="1"/>
  <c r="W197" i="1" s="1"/>
  <c r="W94" i="1"/>
  <c r="N135" i="1"/>
  <c r="W146" i="1" s="1"/>
  <c r="I94" i="1"/>
  <c r="I219" i="1"/>
  <c r="I153" i="1"/>
  <c r="I186" i="1" s="1"/>
  <c r="I133" i="1"/>
  <c r="L75" i="7"/>
  <c r="O220" i="1"/>
  <c r="X244" i="1"/>
  <c r="X247" i="1" s="1"/>
  <c r="K153" i="1"/>
  <c r="K186" i="1" s="1"/>
  <c r="K133" i="1"/>
  <c r="W93" i="1"/>
  <c r="N154" i="1"/>
  <c r="N187" i="1" s="1"/>
  <c r="W196" i="1" s="1"/>
  <c r="N134" i="1"/>
  <c r="W145" i="1" s="1"/>
  <c r="X92" i="1"/>
  <c r="O95" i="1"/>
  <c r="O519" i="1" s="1"/>
  <c r="O528" i="1" s="1"/>
  <c r="O153" i="1"/>
  <c r="O133" i="1"/>
  <c r="J93" i="1"/>
  <c r="J218" i="1"/>
  <c r="H155" i="1"/>
  <c r="H188" i="1" s="1"/>
  <c r="H135" i="1"/>
  <c r="X94" i="1"/>
  <c r="O155" i="1"/>
  <c r="O188" i="1" s="1"/>
  <c r="X197" i="1" s="1"/>
  <c r="O135" i="1"/>
  <c r="X146" i="1" s="1"/>
  <c r="J92" i="1"/>
  <c r="J217" i="1"/>
  <c r="V94" i="1"/>
  <c r="M155" i="1"/>
  <c r="M188" i="1" s="1"/>
  <c r="V197" i="1" s="1"/>
  <c r="M135" i="1"/>
  <c r="V146" i="1" s="1"/>
  <c r="W244" i="1"/>
  <c r="W247" i="1" s="1"/>
  <c r="N220" i="1"/>
  <c r="K84" i="1"/>
  <c r="P84" i="1"/>
  <c r="X93" i="1"/>
  <c r="O154" i="1"/>
  <c r="O187" i="1" s="1"/>
  <c r="X196" i="1" s="1"/>
  <c r="O134" i="1"/>
  <c r="X145" i="1" s="1"/>
  <c r="H153" i="1"/>
  <c r="H186" i="1" s="1"/>
  <c r="H133" i="1"/>
  <c r="N153" i="1"/>
  <c r="W92" i="1"/>
  <c r="N95" i="1"/>
  <c r="N519" i="1" s="1"/>
  <c r="N528" i="1" s="1"/>
  <c r="N133" i="1"/>
  <c r="J155" i="1"/>
  <c r="J188" i="1" s="1"/>
  <c r="J75" i="7"/>
  <c r="P92" i="1" l="1"/>
  <c r="Y92" i="1" s="1"/>
  <c r="W95" i="1"/>
  <c r="I95" i="1"/>
  <c r="I156" i="1" s="1"/>
  <c r="H15" i="2" s="1"/>
  <c r="H86" i="2" s="1"/>
  <c r="J220" i="1"/>
  <c r="J520" i="1" s="1"/>
  <c r="I220" i="1"/>
  <c r="H16" i="2" s="1"/>
  <c r="H87" i="2" s="1"/>
  <c r="I520" i="1"/>
  <c r="P133" i="1"/>
  <c r="N117" i="2"/>
  <c r="W117" i="2" s="1"/>
  <c r="W144" i="1"/>
  <c r="W147" i="1" s="1"/>
  <c r="N136" i="1"/>
  <c r="N16" i="2"/>
  <c r="O461" i="1"/>
  <c r="O520" i="1"/>
  <c r="I155" i="1"/>
  <c r="I188" i="1" s="1"/>
  <c r="I135" i="1"/>
  <c r="M117" i="2"/>
  <c r="V117" i="2" s="1"/>
  <c r="O540" i="1"/>
  <c r="N186" i="1"/>
  <c r="N156" i="1"/>
  <c r="F160" i="1" s="1"/>
  <c r="Y244" i="1"/>
  <c r="O186" i="1"/>
  <c r="O156" i="1"/>
  <c r="H160" i="1" s="1"/>
  <c r="G16" i="2"/>
  <c r="H461" i="1"/>
  <c r="H520" i="1"/>
  <c r="X95" i="1"/>
  <c r="U244" i="1"/>
  <c r="P93" i="1"/>
  <c r="P218" i="1"/>
  <c r="Y245" i="1" s="1"/>
  <c r="I16" i="2"/>
  <c r="I87" i="2" s="1"/>
  <c r="K93" i="1"/>
  <c r="U93" i="1" s="1"/>
  <c r="K218" i="1"/>
  <c r="J95" i="1"/>
  <c r="J153" i="1"/>
  <c r="J186" i="1" s="1"/>
  <c r="J133" i="1"/>
  <c r="J154" i="1"/>
  <c r="J187" i="1" s="1"/>
  <c r="J134" i="1"/>
  <c r="H154" i="1"/>
  <c r="H187" i="1" s="1"/>
  <c r="H134" i="1"/>
  <c r="H136" i="1" s="1"/>
  <c r="H519" i="1"/>
  <c r="H528" i="1" s="1"/>
  <c r="H156" i="1"/>
  <c r="G15" i="2" s="1"/>
  <c r="M16" i="2"/>
  <c r="N461" i="1"/>
  <c r="N520" i="1"/>
  <c r="X144" i="1"/>
  <c r="X147" i="1" s="1"/>
  <c r="O136" i="1"/>
  <c r="P94" i="1"/>
  <c r="P219" i="1"/>
  <c r="Y246" i="1" s="1"/>
  <c r="U92" i="1"/>
  <c r="I154" i="1"/>
  <c r="I187" i="1" s="1"/>
  <c r="I134" i="1"/>
  <c r="K94" i="1"/>
  <c r="U94" i="1" s="1"/>
  <c r="K219" i="1"/>
  <c r="U246" i="1" s="1"/>
  <c r="P153" i="1" l="1"/>
  <c r="I519" i="1"/>
  <c r="I528" i="1" s="1"/>
  <c r="J461" i="1"/>
  <c r="J464" i="1" s="1"/>
  <c r="I189" i="1"/>
  <c r="I461" i="1"/>
  <c r="I464" i="1" s="1"/>
  <c r="J136" i="1"/>
  <c r="P95" i="1"/>
  <c r="P519" i="1" s="1"/>
  <c r="P528" i="1" s="1"/>
  <c r="O117" i="2" s="1"/>
  <c r="X117" i="2" s="1"/>
  <c r="I136" i="1"/>
  <c r="M15" i="2"/>
  <c r="F159" i="1"/>
  <c r="G159" i="1" s="1"/>
  <c r="G87" i="2"/>
  <c r="X16" i="2"/>
  <c r="N87" i="2"/>
  <c r="W87" i="2" s="1"/>
  <c r="H117" i="2"/>
  <c r="H88" i="2"/>
  <c r="J189" i="1"/>
  <c r="U245" i="1"/>
  <c r="U247" i="1" s="1"/>
  <c r="K220" i="1"/>
  <c r="N15" i="2"/>
  <c r="H159" i="1"/>
  <c r="I159" i="1" s="1"/>
  <c r="W477" i="1"/>
  <c r="W480" i="1" s="1"/>
  <c r="N464" i="1"/>
  <c r="K154" i="1"/>
  <c r="K187" i="1" s="1"/>
  <c r="K134" i="1"/>
  <c r="K95" i="1"/>
  <c r="O189" i="1"/>
  <c r="X195" i="1"/>
  <c r="X198" i="1" s="1"/>
  <c r="G117" i="2"/>
  <c r="I540" i="1"/>
  <c r="H540" i="1"/>
  <c r="O533" i="1"/>
  <c r="O529" i="1"/>
  <c r="K155" i="1"/>
  <c r="K188" i="1" s="1"/>
  <c r="U197" i="1" s="1"/>
  <c r="K135" i="1"/>
  <c r="U146" i="1" s="1"/>
  <c r="O464" i="1"/>
  <c r="X477" i="1"/>
  <c r="X480" i="1" s="1"/>
  <c r="P154" i="1"/>
  <c r="P187" i="1" s="1"/>
  <c r="Y196" i="1" s="1"/>
  <c r="Y93" i="1"/>
  <c r="P134" i="1"/>
  <c r="Y145" i="1" s="1"/>
  <c r="U195" i="1"/>
  <c r="J156" i="1"/>
  <c r="I15" i="2" s="1"/>
  <c r="I86" i="2" s="1"/>
  <c r="I88" i="2" s="1"/>
  <c r="J519" i="1"/>
  <c r="J528" i="1" s="1"/>
  <c r="J540" i="1" s="1"/>
  <c r="H189" i="1"/>
  <c r="N533" i="1"/>
  <c r="N529" i="1"/>
  <c r="P186" i="1"/>
  <c r="U95" i="1"/>
  <c r="M87" i="2"/>
  <c r="V87" i="2" s="1"/>
  <c r="W16" i="2"/>
  <c r="U144" i="1"/>
  <c r="J533" i="1"/>
  <c r="J529" i="1"/>
  <c r="Y247" i="1"/>
  <c r="I533" i="1"/>
  <c r="I529" i="1"/>
  <c r="I530" i="1" s="1"/>
  <c r="H464" i="1"/>
  <c r="W195" i="1"/>
  <c r="W198" i="1" s="1"/>
  <c r="N189" i="1"/>
  <c r="Y144" i="1"/>
  <c r="P155" i="1"/>
  <c r="P188" i="1" s="1"/>
  <c r="Y197" i="1" s="1"/>
  <c r="Y94" i="1"/>
  <c r="P135" i="1"/>
  <c r="Y146" i="1" s="1"/>
  <c r="G86" i="2"/>
  <c r="H533" i="1"/>
  <c r="H529" i="1"/>
  <c r="P220" i="1"/>
  <c r="P540" i="1" l="1"/>
  <c r="K189" i="1"/>
  <c r="Y95" i="1"/>
  <c r="I137" i="2"/>
  <c r="I89" i="2"/>
  <c r="I92" i="2"/>
  <c r="M118" i="2"/>
  <c r="V118" i="2" s="1"/>
  <c r="O541" i="1"/>
  <c r="N530" i="1"/>
  <c r="I123" i="2"/>
  <c r="I124" i="2" s="1"/>
  <c r="J542" i="1"/>
  <c r="J534" i="1"/>
  <c r="H137" i="2"/>
  <c r="H89" i="2"/>
  <c r="H92" i="2"/>
  <c r="G88" i="2"/>
  <c r="M123" i="2"/>
  <c r="N534" i="1"/>
  <c r="W15" i="2"/>
  <c r="F50" i="3" s="1"/>
  <c r="M86" i="2"/>
  <c r="X15" i="2"/>
  <c r="G50" i="3" s="1"/>
  <c r="N86" i="2"/>
  <c r="J16" i="2"/>
  <c r="K520" i="1"/>
  <c r="K461" i="1"/>
  <c r="I117" i="2"/>
  <c r="H118" i="2"/>
  <c r="J541" i="1"/>
  <c r="O16" i="2"/>
  <c r="P461" i="1"/>
  <c r="P520" i="1"/>
  <c r="P156" i="1"/>
  <c r="J160" i="1" s="1"/>
  <c r="N118" i="2"/>
  <c r="W118" i="2" s="1"/>
  <c r="O530" i="1"/>
  <c r="G118" i="2"/>
  <c r="H541" i="1"/>
  <c r="I541" i="1"/>
  <c r="Y195" i="1"/>
  <c r="Y198" i="1" s="1"/>
  <c r="P189" i="1"/>
  <c r="N123" i="2"/>
  <c r="O542" i="1"/>
  <c r="O534" i="1"/>
  <c r="K156" i="1"/>
  <c r="J15" i="2" s="1"/>
  <c r="K519" i="1"/>
  <c r="K528" i="1" s="1"/>
  <c r="K540" i="1" s="1"/>
  <c r="H123" i="2"/>
  <c r="H124" i="2" s="1"/>
  <c r="I542" i="1"/>
  <c r="I534" i="1"/>
  <c r="I536" i="1" s="1"/>
  <c r="P136" i="1"/>
  <c r="G123" i="2"/>
  <c r="G124" i="2" s="1"/>
  <c r="H542" i="1"/>
  <c r="H534" i="1"/>
  <c r="Y147" i="1"/>
  <c r="J530" i="1"/>
  <c r="I118" i="2"/>
  <c r="H530" i="1"/>
  <c r="U145" i="1"/>
  <c r="U147" i="1" s="1"/>
  <c r="K136" i="1"/>
  <c r="U196" i="1"/>
  <c r="U198" i="1" s="1"/>
  <c r="H536" i="1" l="1"/>
  <c r="H537" i="1" s="1"/>
  <c r="G18" i="2" s="1"/>
  <c r="J536" i="1"/>
  <c r="J537" i="1" s="1"/>
  <c r="I18" i="2" s="1"/>
  <c r="O543" i="1"/>
  <c r="H543" i="1"/>
  <c r="J543" i="1"/>
  <c r="I543" i="1"/>
  <c r="W86" i="2"/>
  <c r="N88" i="2"/>
  <c r="V86" i="2"/>
  <c r="M88" i="2"/>
  <c r="J117" i="2"/>
  <c r="T117" i="2" s="1"/>
  <c r="G137" i="2"/>
  <c r="G92" i="2"/>
  <c r="G89" i="2"/>
  <c r="J86" i="2"/>
  <c r="T86" i="2" s="1"/>
  <c r="U15" i="2"/>
  <c r="D50" i="3" s="1"/>
  <c r="H138" i="2"/>
  <c r="H95" i="2"/>
  <c r="N536" i="1"/>
  <c r="O536" i="1"/>
  <c r="O87" i="2"/>
  <c r="X87" i="2" s="1"/>
  <c r="Y16" i="2"/>
  <c r="W123" i="2"/>
  <c r="N124" i="2"/>
  <c r="W124" i="2" s="1"/>
  <c r="I138" i="2"/>
  <c r="I95" i="2"/>
  <c r="O15" i="2"/>
  <c r="J159" i="1"/>
  <c r="K159" i="1" s="1"/>
  <c r="K464" i="1"/>
  <c r="U477" i="1"/>
  <c r="U480" i="1" s="1"/>
  <c r="P529" i="1"/>
  <c r="P533" i="1"/>
  <c r="K529" i="1"/>
  <c r="K530" i="1" s="1"/>
  <c r="K533" i="1"/>
  <c r="V123" i="2"/>
  <c r="M124" i="2"/>
  <c r="V124" i="2" s="1"/>
  <c r="Y477" i="1"/>
  <c r="Y480" i="1" s="1"/>
  <c r="P464" i="1"/>
  <c r="J87" i="2"/>
  <c r="U16" i="2"/>
  <c r="I537" i="1" l="1"/>
  <c r="H18" i="2" s="1"/>
  <c r="O537" i="1"/>
  <c r="N18" i="2" s="1"/>
  <c r="X18" i="2" s="1"/>
  <c r="W164" i="2" s="1"/>
  <c r="O123" i="2"/>
  <c r="P542" i="1"/>
  <c r="P534" i="1"/>
  <c r="I139" i="2"/>
  <c r="I98" i="2"/>
  <c r="W88" i="2"/>
  <c r="N89" i="2"/>
  <c r="W89" i="2" s="1"/>
  <c r="N92" i="2"/>
  <c r="N137" i="2"/>
  <c r="W137" i="2" s="1"/>
  <c r="G138" i="2"/>
  <c r="G95" i="2"/>
  <c r="H139" i="2"/>
  <c r="H98" i="2"/>
  <c r="J88" i="2"/>
  <c r="T87" i="2"/>
  <c r="P541" i="1"/>
  <c r="O118" i="2"/>
  <c r="X118" i="2" s="1"/>
  <c r="P530" i="1"/>
  <c r="M89" i="2"/>
  <c r="V89" i="2" s="1"/>
  <c r="M92" i="2"/>
  <c r="M137" i="2"/>
  <c r="V137" i="2" s="1"/>
  <c r="V88" i="2"/>
  <c r="O86" i="2"/>
  <c r="Y15" i="2"/>
  <c r="H50" i="3" s="1"/>
  <c r="J123" i="2"/>
  <c r="K542" i="1"/>
  <c r="K534" i="1"/>
  <c r="K536" i="1" s="1"/>
  <c r="K537" i="1" s="1"/>
  <c r="J18" i="2" s="1"/>
  <c r="J118" i="2"/>
  <c r="T118" i="2" s="1"/>
  <c r="K541" i="1"/>
  <c r="U18" i="2" l="1"/>
  <c r="T164" i="2" s="1"/>
  <c r="P536" i="1"/>
  <c r="P537" i="1" s="1"/>
  <c r="O18" i="2" s="1"/>
  <c r="Y18" i="2" s="1"/>
  <c r="X164" i="2" s="1"/>
  <c r="K543" i="1"/>
  <c r="G139" i="2"/>
  <c r="G98" i="2"/>
  <c r="J92" i="2"/>
  <c r="J137" i="2"/>
  <c r="T137" i="2" s="1"/>
  <c r="J89" i="2"/>
  <c r="T88" i="2"/>
  <c r="T89" i="2" s="1"/>
  <c r="I140" i="2"/>
  <c r="I100" i="2"/>
  <c r="I19" i="2" s="1"/>
  <c r="I20" i="2" s="1"/>
  <c r="J124" i="2"/>
  <c r="T124" i="2" s="1"/>
  <c r="T123" i="2"/>
  <c r="P543" i="1"/>
  <c r="H100" i="2"/>
  <c r="H19" i="2" s="1"/>
  <c r="H20" i="2" s="1"/>
  <c r="H140" i="2"/>
  <c r="C56" i="3"/>
  <c r="C57" i="3" s="1"/>
  <c r="C29" i="3"/>
  <c r="X123" i="2"/>
  <c r="O124" i="2"/>
  <c r="X124" i="2" s="1"/>
  <c r="M138" i="2"/>
  <c r="V138" i="2" s="1"/>
  <c r="F51" i="3" s="1"/>
  <c r="V92" i="2"/>
  <c r="M95" i="2"/>
  <c r="X86" i="2"/>
  <c r="O88" i="2"/>
  <c r="W92" i="2"/>
  <c r="N138" i="2"/>
  <c r="W138" i="2" s="1"/>
  <c r="G51" i="3" s="1"/>
  <c r="N95" i="2"/>
  <c r="F11" i="6"/>
  <c r="F12" i="6" s="1"/>
  <c r="C34" i="3" l="1"/>
  <c r="C35" i="3" s="1"/>
  <c r="G40" i="3"/>
  <c r="E40" i="3"/>
  <c r="E41" i="3"/>
  <c r="E43" i="3"/>
  <c r="G42" i="3"/>
  <c r="E42" i="3"/>
  <c r="G41" i="3"/>
  <c r="G43" i="3"/>
  <c r="H101" i="2"/>
  <c r="H141" i="2" s="1"/>
  <c r="O137" i="2"/>
  <c r="X137" i="2" s="1"/>
  <c r="O92" i="2"/>
  <c r="X88" i="2"/>
  <c r="O89" i="2"/>
  <c r="X89" i="2" s="1"/>
  <c r="M139" i="2"/>
  <c r="V139" i="2" s="1"/>
  <c r="M98" i="2"/>
  <c r="V95" i="2"/>
  <c r="N139" i="2"/>
  <c r="W139" i="2" s="1"/>
  <c r="W95" i="2"/>
  <c r="N98" i="2"/>
  <c r="I27" i="2"/>
  <c r="I36" i="2"/>
  <c r="H27" i="2"/>
  <c r="H36" i="2"/>
  <c r="J138" i="2"/>
  <c r="T138" i="2" s="1"/>
  <c r="D51" i="3" s="1"/>
  <c r="J95" i="2"/>
  <c r="T92" i="2"/>
  <c r="G140" i="2"/>
  <c r="G100" i="2"/>
  <c r="G101" i="2" s="1"/>
  <c r="I101" i="2"/>
  <c r="I141" i="2" s="1"/>
  <c r="F83" i="6"/>
  <c r="F9" i="6"/>
  <c r="F8" i="6" s="1"/>
  <c r="F13" i="6" s="1"/>
  <c r="F34" i="6" s="1"/>
  <c r="T95" i="2" l="1"/>
  <c r="J98" i="2"/>
  <c r="J139" i="2"/>
  <c r="T139" i="2" s="1"/>
  <c r="W160" i="2"/>
  <c r="G52" i="3"/>
  <c r="V98" i="2"/>
  <c r="M100" i="2"/>
  <c r="M140" i="2"/>
  <c r="V140" i="2" s="1"/>
  <c r="F52" i="3"/>
  <c r="V160" i="2"/>
  <c r="G141" i="2"/>
  <c r="G19" i="2"/>
  <c r="W98" i="2"/>
  <c r="N140" i="2"/>
  <c r="W140" i="2" s="1"/>
  <c r="N100" i="2"/>
  <c r="N101" i="2" s="1"/>
  <c r="O138" i="2"/>
  <c r="X138" i="2" s="1"/>
  <c r="H51" i="3" s="1"/>
  <c r="X92" i="2"/>
  <c r="O95" i="2"/>
  <c r="F32" i="6"/>
  <c r="F23" i="6" s="1"/>
  <c r="F84" i="6" s="1"/>
  <c r="G34" i="6"/>
  <c r="O139" i="2" l="1"/>
  <c r="X139" i="2" s="1"/>
  <c r="O98" i="2"/>
  <c r="X95" i="2"/>
  <c r="G20" i="2"/>
  <c r="V100" i="2"/>
  <c r="V161" i="2" s="1"/>
  <c r="M19" i="2"/>
  <c r="W19" i="2" s="1"/>
  <c r="N141" i="2"/>
  <c r="W141" i="2" s="1"/>
  <c r="W101" i="2"/>
  <c r="N19" i="2"/>
  <c r="W100" i="2"/>
  <c r="W161" i="2" s="1"/>
  <c r="W166" i="2" s="1"/>
  <c r="T160" i="2"/>
  <c r="D52" i="3"/>
  <c r="T98" i="2"/>
  <c r="J140" i="2"/>
  <c r="T140" i="2" s="1"/>
  <c r="J100" i="2"/>
  <c r="J101" i="2" s="1"/>
  <c r="M101" i="2"/>
  <c r="F55" i="6"/>
  <c r="F76" i="6" s="1"/>
  <c r="H34" i="6"/>
  <c r="F58" i="6"/>
  <c r="F79" i="6" s="1"/>
  <c r="F49" i="6"/>
  <c r="F70" i="6" s="1"/>
  <c r="F48" i="6"/>
  <c r="F69" i="6" s="1"/>
  <c r="F54" i="6"/>
  <c r="F60" i="6"/>
  <c r="F81" i="6" s="1"/>
  <c r="F57" i="6"/>
  <c r="F78" i="6" s="1"/>
  <c r="F51" i="6"/>
  <c r="F72" i="6" s="1"/>
  <c r="F47" i="6"/>
  <c r="F50" i="6"/>
  <c r="F71" i="6" s="1"/>
  <c r="F56" i="6"/>
  <c r="F77" i="6" s="1"/>
  <c r="V101" i="2" l="1"/>
  <c r="M141" i="2"/>
  <c r="V141" i="2" s="1"/>
  <c r="X19" i="2"/>
  <c r="N20" i="2"/>
  <c r="J19" i="2"/>
  <c r="T100" i="2"/>
  <c r="T161" i="2" s="1"/>
  <c r="T166" i="2" s="1"/>
  <c r="G27" i="2"/>
  <c r="G28" i="2" s="1"/>
  <c r="H28" i="2" s="1"/>
  <c r="I28" i="2" s="1"/>
  <c r="G36" i="2"/>
  <c r="W170" i="2"/>
  <c r="G53" i="3"/>
  <c r="G55" i="3" s="1"/>
  <c r="X98" i="2"/>
  <c r="O140" i="2"/>
  <c r="X140" i="2" s="1"/>
  <c r="O100" i="2"/>
  <c r="O101" i="2"/>
  <c r="J141" i="2"/>
  <c r="T141" i="2" s="1"/>
  <c r="T101" i="2"/>
  <c r="X160" i="2"/>
  <c r="H52" i="3"/>
  <c r="F53" i="6"/>
  <c r="F75" i="6"/>
  <c r="F74" i="6" s="1"/>
  <c r="F46" i="6"/>
  <c r="F68" i="6"/>
  <c r="F67" i="6" s="1"/>
  <c r="I34" i="6"/>
  <c r="G38" i="2" l="1"/>
  <c r="X101" i="2"/>
  <c r="O141" i="2"/>
  <c r="X141" i="2" s="1"/>
  <c r="O19" i="2"/>
  <c r="X100" i="2"/>
  <c r="X161" i="2" s="1"/>
  <c r="X166" i="2" s="1"/>
  <c r="T170" i="2"/>
  <c r="D53" i="3"/>
  <c r="D55" i="3" s="1"/>
  <c r="J20" i="2"/>
  <c r="U19" i="2"/>
  <c r="N27" i="2"/>
  <c r="N36" i="2"/>
  <c r="X36" i="2" s="1"/>
  <c r="AH27" i="2" s="1"/>
  <c r="X20" i="2"/>
  <c r="F44" i="6"/>
  <c r="F65" i="6"/>
  <c r="H53" i="3" l="1"/>
  <c r="H55" i="3" s="1"/>
  <c r="X170" i="2"/>
  <c r="Y166" i="2"/>
  <c r="Y170" i="2" s="1"/>
  <c r="X27" i="2"/>
  <c r="AH54" i="2"/>
  <c r="Y19" i="2"/>
  <c r="O20" i="2"/>
  <c r="J36" i="2"/>
  <c r="U36" i="2" s="1"/>
  <c r="AE27" i="2" s="1"/>
  <c r="J27" i="2"/>
  <c r="J28" i="2" s="1"/>
  <c r="U20" i="2"/>
  <c r="H12" i="2"/>
  <c r="H38" i="2" s="1"/>
  <c r="G114" i="2"/>
  <c r="G119" i="2" s="1"/>
  <c r="G125" i="2" s="1"/>
  <c r="G126" i="2" s="1"/>
  <c r="O27" i="2" l="1"/>
  <c r="O36" i="2"/>
  <c r="Y36" i="2" s="1"/>
  <c r="AI27" i="2" s="1"/>
  <c r="Y20" i="2"/>
  <c r="I12" i="2"/>
  <c r="I38" i="2" s="1"/>
  <c r="H114" i="2"/>
  <c r="H119" i="2" s="1"/>
  <c r="H125" i="2" s="1"/>
  <c r="H126" i="2" s="1"/>
  <c r="U27" i="2"/>
  <c r="U28" i="2" s="1"/>
  <c r="AE54" i="2"/>
  <c r="AE55" i="2" s="1"/>
  <c r="J12" i="2" l="1"/>
  <c r="J38" i="2" s="1"/>
  <c r="I114" i="2"/>
  <c r="I119" i="2" s="1"/>
  <c r="I125" i="2" s="1"/>
  <c r="I126" i="2" s="1"/>
  <c r="Y27" i="2"/>
  <c r="AI54" i="2"/>
  <c r="J114" i="2" l="1"/>
  <c r="U38" i="2"/>
  <c r="AE28" i="2" s="1"/>
  <c r="L12" i="2"/>
  <c r="V12" i="2" s="1"/>
  <c r="T114" i="2" l="1"/>
  <c r="J119" i="2"/>
  <c r="J125" i="2" l="1"/>
  <c r="T119" i="2"/>
  <c r="T125" i="2" l="1"/>
  <c r="T126" i="2" s="1"/>
  <c r="J126" i="2"/>
  <c r="M217" i="1" l="1"/>
  <c r="M220" i="1" s="1"/>
  <c r="M92" i="1"/>
  <c r="V92" i="1" s="1"/>
  <c r="V95" i="1" s="1"/>
  <c r="M133" i="1" l="1"/>
  <c r="V144" i="1" s="1"/>
  <c r="V147" i="1" s="1"/>
  <c r="M153" i="1"/>
  <c r="M95" i="1"/>
  <c r="M519" i="1" s="1"/>
  <c r="M528" i="1" s="1"/>
  <c r="M540" i="1" s="1"/>
  <c r="M461" i="1"/>
  <c r="L16" i="2"/>
  <c r="M520" i="1"/>
  <c r="V244" i="1"/>
  <c r="V247" i="1" s="1"/>
  <c r="M136" i="1" l="1"/>
  <c r="N540" i="1"/>
  <c r="L117" i="2"/>
  <c r="U117" i="2" s="1"/>
  <c r="M186" i="1"/>
  <c r="M156" i="1"/>
  <c r="D160" i="1" s="1"/>
  <c r="V477" i="1"/>
  <c r="V480" i="1" s="1"/>
  <c r="M464" i="1"/>
  <c r="M529" i="1"/>
  <c r="M533" i="1"/>
  <c r="V16" i="2"/>
  <c r="L87" i="2"/>
  <c r="U87" i="2" s="1"/>
  <c r="L15" i="2" l="1"/>
  <c r="D159" i="1"/>
  <c r="E159" i="1" s="1"/>
  <c r="M189" i="1"/>
  <c r="V195" i="1"/>
  <c r="V198" i="1" s="1"/>
  <c r="M542" i="1"/>
  <c r="N542" i="1"/>
  <c r="L123" i="2"/>
  <c r="M534" i="1"/>
  <c r="L118" i="2"/>
  <c r="U118" i="2" s="1"/>
  <c r="M541" i="1"/>
  <c r="N541" i="1"/>
  <c r="M530" i="1"/>
  <c r="M536" i="1" l="1"/>
  <c r="M537" i="1" s="1"/>
  <c r="L18" i="2" s="1"/>
  <c r="N543" i="1"/>
  <c r="V15" i="2"/>
  <c r="E50" i="3" s="1"/>
  <c r="L86" i="2"/>
  <c r="M543" i="1"/>
  <c r="U123" i="2"/>
  <c r="L124" i="2"/>
  <c r="U124" i="2" s="1"/>
  <c r="N537" i="1" l="1"/>
  <c r="M18" i="2" s="1"/>
  <c r="M20" i="2" s="1"/>
  <c r="U86" i="2"/>
  <c r="L88" i="2"/>
  <c r="V18" i="2"/>
  <c r="U164" i="2" s="1"/>
  <c r="W18" i="2" l="1"/>
  <c r="V164" i="2" s="1"/>
  <c r="V166" i="2" s="1"/>
  <c r="V170" i="2" s="1"/>
  <c r="L92" i="2"/>
  <c r="L89" i="2"/>
  <c r="U89" i="2" s="1"/>
  <c r="L137" i="2"/>
  <c r="U137" i="2" s="1"/>
  <c r="U88" i="2"/>
  <c r="M27" i="2"/>
  <c r="W20" i="2"/>
  <c r="M36" i="2"/>
  <c r="W36" i="2" s="1"/>
  <c r="AG27" i="2" s="1"/>
  <c r="F53" i="3" l="1"/>
  <c r="F55" i="3" s="1"/>
  <c r="L95" i="2"/>
  <c r="L138" i="2"/>
  <c r="U138" i="2" s="1"/>
  <c r="E51" i="3" s="1"/>
  <c r="U92" i="2"/>
  <c r="AG54" i="2"/>
  <c r="W27" i="2"/>
  <c r="U95" i="2" l="1"/>
  <c r="L139" i="2"/>
  <c r="U139" i="2" s="1"/>
  <c r="L98" i="2"/>
  <c r="L140" i="2" l="1"/>
  <c r="U140" i="2" s="1"/>
  <c r="U98" i="2"/>
  <c r="L100" i="2"/>
  <c r="U160" i="2"/>
  <c r="E52" i="3"/>
  <c r="L19" i="2" l="1"/>
  <c r="U100" i="2"/>
  <c r="U161" i="2" s="1"/>
  <c r="U166" i="2" s="1"/>
  <c r="L101" i="2"/>
  <c r="L141" i="2" l="1"/>
  <c r="U141" i="2" s="1"/>
  <c r="U101" i="2"/>
  <c r="E53" i="3"/>
  <c r="E55" i="3" s="1"/>
  <c r="U170" i="2"/>
  <c r="S173" i="2" s="1"/>
  <c r="T173" i="2" s="1"/>
  <c r="V19" i="2"/>
  <c r="L20" i="2"/>
  <c r="G64" i="3" l="1"/>
  <c r="E65" i="3"/>
  <c r="E67" i="3"/>
  <c r="E66" i="3"/>
  <c r="C58" i="3"/>
  <c r="E64" i="3"/>
  <c r="L27" i="2"/>
  <c r="L28" i="2" s="1"/>
  <c r="M28" i="2" s="1"/>
  <c r="N28" i="2" s="1"/>
  <c r="O28" i="2" s="1"/>
  <c r="V20" i="2"/>
  <c r="L36" i="2"/>
  <c r="V36" i="2" l="1"/>
  <c r="AF27" i="2" s="1"/>
  <c r="L38" i="2"/>
  <c r="V27" i="2"/>
  <c r="V28" i="2" s="1"/>
  <c r="W28" i="2" s="1"/>
  <c r="X28" i="2" s="1"/>
  <c r="Y28" i="2" s="1"/>
  <c r="AF54" i="2"/>
  <c r="AF55" i="2" s="1"/>
  <c r="AG55" i="2" s="1"/>
  <c r="AH55" i="2" s="1"/>
  <c r="AI55" i="2" s="1"/>
  <c r="V38" i="2" l="1"/>
  <c r="AF28" i="2" s="1"/>
  <c r="L114" i="2"/>
  <c r="M12" i="2"/>
  <c r="W12" i="2" l="1"/>
  <c r="M38" i="2"/>
  <c r="U114" i="2"/>
  <c r="L119" i="2"/>
  <c r="U119" i="2" l="1"/>
  <c r="L125" i="2"/>
  <c r="M114" i="2"/>
  <c r="W38" i="2"/>
  <c r="AG28" i="2" s="1"/>
  <c r="N12" i="2"/>
  <c r="N38" i="2" l="1"/>
  <c r="X12" i="2"/>
  <c r="V114" i="2"/>
  <c r="M119" i="2"/>
  <c r="L126" i="2"/>
  <c r="U125" i="2"/>
  <c r="U126" i="2" s="1"/>
  <c r="M125" i="2" l="1"/>
  <c r="V119" i="2"/>
  <c r="O12" i="2"/>
  <c r="X38" i="2"/>
  <c r="AH28" i="2" s="1"/>
  <c r="N114" i="2"/>
  <c r="N119" i="2" l="1"/>
  <c r="W114" i="2"/>
  <c r="Y12" i="2"/>
  <c r="O38" i="2"/>
  <c r="V125" i="2"/>
  <c r="V126" i="2" s="1"/>
  <c r="M126" i="2"/>
  <c r="O114" i="2" l="1"/>
  <c r="Y38" i="2"/>
  <c r="AI28" i="2" s="1"/>
  <c r="S42" i="2"/>
  <c r="W119" i="2"/>
  <c r="N125" i="2"/>
  <c r="W125" i="2" l="1"/>
  <c r="W126" i="2" s="1"/>
  <c r="N126" i="2"/>
  <c r="X114" i="2"/>
  <c r="O119" i="2"/>
  <c r="X119" i="2" l="1"/>
  <c r="O125" i="2"/>
  <c r="X125" i="2" l="1"/>
  <c r="X126" i="2" s="1"/>
  <c r="O126" i="2"/>
  <c r="G8" i="6" l="1"/>
  <c r="G13" i="6" s="1"/>
  <c r="G35" i="6" s="1"/>
  <c r="G32" i="6" l="1"/>
  <c r="G23" i="6" s="1"/>
  <c r="G56" i="6" s="1"/>
  <c r="H35" i="6"/>
  <c r="I35" i="6" l="1"/>
  <c r="H32" i="6"/>
  <c r="H23" i="6" s="1"/>
  <c r="H56" i="6" s="1"/>
  <c r="G11" i="6"/>
  <c r="G12" i="6" s="1"/>
  <c r="G51" i="6"/>
  <c r="G55" i="6"/>
  <c r="G57" i="6"/>
  <c r="G60" i="6"/>
  <c r="G81" i="6" s="1"/>
  <c r="G50" i="6"/>
  <c r="G49" i="6"/>
  <c r="G48" i="6"/>
  <c r="G54" i="6"/>
  <c r="G47" i="6"/>
  <c r="G58" i="6"/>
  <c r="G46" i="6" l="1"/>
  <c r="G53" i="6"/>
  <c r="G9" i="6"/>
  <c r="G83" i="6"/>
  <c r="H47" i="6"/>
  <c r="H60" i="6"/>
  <c r="H54" i="6"/>
  <c r="H50" i="6"/>
  <c r="H48" i="6"/>
  <c r="H58" i="6"/>
  <c r="H49" i="6"/>
  <c r="H57" i="6"/>
  <c r="H51" i="6"/>
  <c r="H55" i="6"/>
  <c r="G44" i="6" l="1"/>
  <c r="G68" i="6"/>
  <c r="G84" i="6"/>
  <c r="G70" i="6"/>
  <c r="G69" i="6"/>
  <c r="G71" i="6"/>
  <c r="G72" i="6"/>
  <c r="G77" i="6"/>
  <c r="G79" i="6"/>
  <c r="H53" i="6"/>
  <c r="G75" i="6"/>
  <c r="H46" i="6"/>
  <c r="G76" i="6"/>
  <c r="H11" i="6"/>
  <c r="H12" i="6" s="1"/>
  <c r="G78" i="6"/>
  <c r="G74" i="6" l="1"/>
  <c r="G67" i="6"/>
  <c r="H9" i="6"/>
  <c r="H83" i="6"/>
  <c r="H44" i="6"/>
  <c r="G65" i="6" l="1"/>
  <c r="H81" i="6"/>
  <c r="H70" i="6"/>
  <c r="H84" i="6"/>
  <c r="H72" i="6"/>
  <c r="H69" i="6"/>
  <c r="H71" i="6"/>
  <c r="H68" i="6"/>
  <c r="H67" i="6" s="1"/>
  <c r="H77" i="6"/>
  <c r="H79" i="6"/>
  <c r="H78" i="6"/>
  <c r="H75" i="6"/>
  <c r="H76" i="6"/>
  <c r="H74" i="6" l="1"/>
  <c r="H65" i="6" s="1"/>
  <c r="I8" i="6"/>
  <c r="I13" i="6" s="1"/>
  <c r="I37" i="6" s="1"/>
  <c r="I32" i="6" l="1"/>
  <c r="I23" i="6" s="1"/>
  <c r="I56" i="6" l="1"/>
  <c r="I47" i="6"/>
  <c r="I49" i="6"/>
  <c r="I55" i="6"/>
  <c r="I54" i="6"/>
  <c r="I51" i="6"/>
  <c r="I57" i="6"/>
  <c r="I50" i="6"/>
  <c r="I48" i="6"/>
  <c r="I60" i="6"/>
  <c r="I81" i="6" s="1"/>
  <c r="I58" i="6"/>
  <c r="I46" i="6" l="1"/>
  <c r="I11" i="6"/>
  <c r="I12" i="6" s="1"/>
  <c r="I53" i="6"/>
  <c r="I44" i="6"/>
  <c r="I83" i="6" l="1"/>
  <c r="I9" i="6"/>
  <c r="I84" i="6" l="1"/>
  <c r="I68" i="6"/>
  <c r="I69" i="6"/>
  <c r="I72" i="6"/>
  <c r="I71" i="6"/>
  <c r="I70" i="6"/>
  <c r="I77" i="6"/>
  <c r="I78" i="6"/>
  <c r="I75" i="6"/>
  <c r="I76" i="6"/>
  <c r="I79" i="6"/>
  <c r="I67" i="6" l="1"/>
  <c r="I74" i="6"/>
  <c r="I65" i="6" l="1"/>
</calcChain>
</file>

<file path=xl/sharedStrings.xml><?xml version="1.0" encoding="utf-8"?>
<sst xmlns="http://schemas.openxmlformats.org/spreadsheetml/2006/main" count="998" uniqueCount="488">
  <si>
    <t>Q.1. &amp; Q.3. Introduction</t>
  </si>
  <si>
    <r>
      <rPr>
        <b/>
        <sz val="11"/>
        <color theme="1"/>
        <rFont val="Aptos Narrow"/>
        <family val="2"/>
        <scheme val="minor"/>
      </rPr>
      <t>Introduction</t>
    </r>
    <r>
      <rPr>
        <sz val="11"/>
        <color theme="1"/>
        <rFont val="Aptos Narrow"/>
        <family val="2"/>
        <scheme val="minor"/>
      </rPr>
      <t xml:space="preserve">
The model is designed to auto-populate based on the information you provide</t>
    </r>
  </si>
  <si>
    <t>Some cells are required and others are optional</t>
  </si>
  <si>
    <t>Use the colour guide to determine which inputs are needed</t>
  </si>
  <si>
    <t>To improve navigation and data comparison, this workbook has been consolidated from multiple tabs into four primary sheets (Operations&gt;Statements&gt;Valuation&gt;Cap Table). This layout eliminates the need to hunt through hidden or overflowing tabs, allowing you to view and compare different operational statements side-by-side more efficiently.</t>
  </si>
  <si>
    <t>Key</t>
    <phoneticPr fontId="0" type="noConversion"/>
  </si>
  <si>
    <t>Example</t>
    <phoneticPr fontId="0" type="noConversion"/>
  </si>
  <si>
    <t>Meaning</t>
    <phoneticPr fontId="0" type="noConversion"/>
  </si>
  <si>
    <t>Green Fill</t>
  </si>
  <si>
    <t>Required numerical inputs</t>
  </si>
  <si>
    <t>Yellow Fill</t>
    <phoneticPr fontId="0" type="noConversion"/>
  </si>
  <si>
    <t>Optional numerical or text inputs</t>
  </si>
  <si>
    <t>No Fill</t>
    <phoneticPr fontId="0" type="noConversion"/>
  </si>
  <si>
    <t>The user should not enter any information in empty cells. All data in cells with no colour fill will be calculated automatically for the user</t>
  </si>
  <si>
    <t>To simplify your analysis, use the grouping function on the left to hide unnecessary sections. By collapsing specific data sets, you can bring any two areas together for a clean, side-by-side comparison on a single screen.
Navigation guide:
1. To expand a specific section: Click the [+] icon in the left-hand (or on the top) margin. For example, to view the Top-Down model, click the [+] next to Row 68 (left).
2. To view all data: Click the [2] button in the top-left corner of the sheet to expand every section simultaneously.
3. To compare specific data: Click the [-] icon to hide sections you don't need, allowing you to align and compare distant rows easily.</t>
  </si>
  <si>
    <t>Company Information</t>
  </si>
  <si>
    <t>Company Name:</t>
    <phoneticPr fontId="0" type="noConversion"/>
  </si>
  <si>
    <t>Sustainsphere</t>
  </si>
  <si>
    <t>Start Date:</t>
  </si>
  <si>
    <t>Currency, Units:</t>
  </si>
  <si>
    <t>EUR</t>
  </si>
  <si>
    <t>Revenues</t>
  </si>
  <si>
    <t>Top-Down</t>
  </si>
  <si>
    <t>Top-Down Revenue Projection</t>
  </si>
  <si>
    <t>First two years - Quarterly</t>
  </si>
  <si>
    <t>Market Size and Sales Assumptions</t>
  </si>
  <si>
    <t>Europe</t>
  </si>
  <si>
    <t>Notes on assumptions</t>
  </si>
  <si>
    <t>USA &amp; Canada</t>
  </si>
  <si>
    <t>Market 3</t>
  </si>
  <si>
    <t>Year of Market Sizing</t>
  </si>
  <si>
    <t>Overall market size</t>
  </si>
  <si>
    <t>Approx. 12% - Global CSR software market ≈ USD 1.0 billion (≈ 2024–2025)</t>
  </si>
  <si>
    <t>Approx. 38% - Global CSR software market ≈ USD 1.0 billion (≈ 2024–2025)</t>
  </si>
  <si>
    <t>Target segment share</t>
  </si>
  <si>
    <t>SOM</t>
  </si>
  <si>
    <t>Target market size</t>
  </si>
  <si>
    <t>Market Growth Rate</t>
  </si>
  <si>
    <t>Gaining market share would take time</t>
  </si>
  <si>
    <t>Market Size (prior to margin for retailers &amp; distributors)</t>
  </si>
  <si>
    <t>Market Size (years 1 and 2)</t>
  </si>
  <si>
    <t>Market Size (years 3 to 6)</t>
  </si>
  <si>
    <t>Year 1</t>
  </si>
  <si>
    <t>Year 2</t>
  </si>
  <si>
    <t>Year 3</t>
  </si>
  <si>
    <t>Year 4</t>
  </si>
  <si>
    <t>Year 5</t>
  </si>
  <si>
    <t>Year 6</t>
  </si>
  <si>
    <t>Full Forecast - Annual (6 years)</t>
  </si>
  <si>
    <t>Assumption: Third Party Margins</t>
  </si>
  <si>
    <t>Third Party Margins (years 1 and 2)</t>
  </si>
  <si>
    <t>Third Party Margins (years 3 to 6)</t>
  </si>
  <si>
    <t>Annual Projections</t>
  </si>
  <si>
    <t>Assumption: Market Penetration by period</t>
  </si>
  <si>
    <t>Market penetration (years 1 and 2)</t>
  </si>
  <si>
    <t>Market Penetration (years 3 to 6)</t>
  </si>
  <si>
    <t>Quarterly Projections (years 1 and 2)</t>
  </si>
  <si>
    <t>Annual Projections (years 3 to 6)</t>
  </si>
  <si>
    <t xml:space="preserve">Total </t>
  </si>
  <si>
    <t>Bottom-Up</t>
  </si>
  <si>
    <t>Bottom-Up Revenue Projection</t>
  </si>
  <si>
    <t>Product Information</t>
  </si>
  <si>
    <t>Free Tier</t>
  </si>
  <si>
    <t>Professional</t>
  </si>
  <si>
    <t>Premium</t>
  </si>
  <si>
    <t>List price (net of tax)</t>
  </si>
  <si>
    <t>Third party margin</t>
  </si>
  <si>
    <t>Rate of returns</t>
  </si>
  <si>
    <t>Net price</t>
  </si>
  <si>
    <t xml:space="preserve"> </t>
  </si>
  <si>
    <t>Sales Projections (As per the Sales funnel in Bottom_Up_Calculation sheet)</t>
  </si>
  <si>
    <t>Quarterly Units sold (years 1 and 2)</t>
  </si>
  <si>
    <t>Annual Units sold (years 3 to 6)</t>
  </si>
  <si>
    <t>Bottom-up Revenue Projection</t>
  </si>
  <si>
    <t>Quarterly Projections - 2 years from start</t>
  </si>
  <si>
    <t>Total</t>
  </si>
  <si>
    <t>Revenue Projections</t>
  </si>
  <si>
    <t>Revenue Projections - Final</t>
  </si>
  <si>
    <t>Method Choice</t>
  </si>
  <si>
    <t>Bottom-up</t>
  </si>
  <si>
    <t>Revenues can be projected using either of the following methods:</t>
  </si>
  <si>
    <t>Top-down</t>
  </si>
  <si>
    <t>Revenue Projection</t>
  </si>
  <si>
    <t xml:space="preserve">Top Up Revenue </t>
  </si>
  <si>
    <t>Bottom Up Revenue</t>
  </si>
  <si>
    <t>Revenue Convergence Ratio</t>
  </si>
  <si>
    <t>Reality Gap</t>
  </si>
  <si>
    <t>Expenses</t>
  </si>
  <si>
    <t>Cost of Services Sold</t>
  </si>
  <si>
    <t>Projected Cost of Services Sold (COS)</t>
  </si>
  <si>
    <t>Note: On Working Capital tab, the preferred method can be selected from:</t>
  </si>
  <si>
    <t>COS Projection - Top-down</t>
  </si>
  <si>
    <t>Top-down Assumptions - Expected Gross Margin</t>
  </si>
  <si>
    <t>Expected Gross Margin</t>
  </si>
  <si>
    <t>Top-down COS Estimate</t>
  </si>
  <si>
    <t>Quarterly COS (years 1 and 2)</t>
  </si>
  <si>
    <t>Annual COS (years 3 to 6)</t>
  </si>
  <si>
    <t>COS Projection - Bottom-up</t>
  </si>
  <si>
    <t>Cloud App Hosting</t>
  </si>
  <si>
    <t>Thin web layer, low traffic</t>
  </si>
  <si>
    <t>Dashboards, auth, APIs</t>
  </si>
  <si>
    <t>Same infra, slightly higher usage</t>
  </si>
  <si>
    <t>Database (User &amp; NGO Data)</t>
  </si>
  <si>
    <t>Small tables, low query volume</t>
  </si>
  <si>
    <t>Moderate reporting queries</t>
  </si>
  <si>
    <t>Benchmarking &amp; longer history</t>
  </si>
  <si>
    <t>File Storage</t>
  </si>
  <si>
    <t>Minimal uploads</t>
  </si>
  <si>
    <t>Reports &amp; exports</t>
  </si>
  <si>
    <t>Larger archive</t>
  </si>
  <si>
    <t>AI Matching (Inference)</t>
  </si>
  <si>
    <t>Embeddings + rules, batched</t>
  </si>
  <si>
    <t>Moderate matching frequency</t>
  </si>
  <si>
    <t>Heavy usage but local compute</t>
  </si>
  <si>
    <t>Blockchain Verification Layer</t>
  </si>
  <si>
    <t>Not available</t>
  </si>
  <si>
    <t>Not included</t>
  </si>
  <si>
    <t>Premium-only analytics jobs</t>
  </si>
  <si>
    <t>AI Analytics / Benchmarking</t>
  </si>
  <si>
    <t>Template-based PDFs</t>
  </si>
  <si>
    <t>More frequent &amp; richer reports</t>
  </si>
  <si>
    <t>AI Report Generation (PDFs)</t>
  </si>
  <si>
    <t>Low-frequency proof writes</t>
  </si>
  <si>
    <t>More verification records</t>
  </si>
  <si>
    <t>Highest audit &amp; verification need</t>
  </si>
  <si>
    <t>Monitoring &amp; Logging</t>
  </si>
  <si>
    <t>Lightweight logging</t>
  </si>
  <si>
    <t>More events</t>
  </si>
  <si>
    <t>Higher observability</t>
  </si>
  <si>
    <t>Security &amp; Compliance</t>
  </si>
  <si>
    <t>Auth, encryption</t>
  </si>
  <si>
    <t>Audit logs</t>
  </si>
  <si>
    <t>Advanced controls</t>
  </si>
  <si>
    <t>Customer Support</t>
  </si>
  <si>
    <t>Self-service</t>
  </si>
  <si>
    <t>Standard support</t>
  </si>
  <si>
    <t>Priority / SLA</t>
  </si>
  <si>
    <t>Total COS per unit</t>
  </si>
  <si>
    <t>Year of estimate</t>
  </si>
  <si>
    <t>CAGR of COS</t>
  </si>
  <si>
    <t>Based on market comparables</t>
  </si>
  <si>
    <t>Bottom-up COS Estimate</t>
  </si>
  <si>
    <t>Payroll</t>
  </si>
  <si>
    <t>Projected Payroll Costs</t>
  </si>
  <si>
    <t>Founders  (first year)</t>
  </si>
  <si>
    <t>Founders (2028 onwards)</t>
  </si>
  <si>
    <t>Engineers</t>
  </si>
  <si>
    <t>Percentages</t>
  </si>
  <si>
    <t>Gross Pay</t>
  </si>
  <si>
    <t>Targeting growth</t>
  </si>
  <si>
    <t>Employer Taxes</t>
  </si>
  <si>
    <t>Employment Insurance</t>
  </si>
  <si>
    <t>Pension</t>
  </si>
  <si>
    <t>Health Insurance</t>
  </si>
  <si>
    <t xml:space="preserve">Health (8.75%) + Long-Term Care (1.8%); Health insurance contributions in Germany are capped for salaries above the assessment ceiling (Beitragsbemessungsgrenze) </t>
  </si>
  <si>
    <t>Other Benefits</t>
  </si>
  <si>
    <t xml:space="preserve">Accident Insurance </t>
  </si>
  <si>
    <t>Annual cost per person</t>
  </si>
  <si>
    <t>Sales</t>
  </si>
  <si>
    <t>Admin</t>
  </si>
  <si>
    <t>Finance</t>
  </si>
  <si>
    <t>Assumptions - Number of persons employed</t>
  </si>
  <si>
    <t>Count of Employees by Quarter (years 1 and 2)</t>
  </si>
  <si>
    <t>Count of Employees by year (years 3 to 6)</t>
  </si>
  <si>
    <t>Total Payroll Costs</t>
  </si>
  <si>
    <t>Quarterly Payroll Costs (years 1 and 2)</t>
  </si>
  <si>
    <t>Annual Payroll Costs (years 3 to 6)</t>
  </si>
  <si>
    <t>Other Op. Expenses</t>
  </si>
  <si>
    <t>Other Operating Expenses Projections</t>
  </si>
  <si>
    <t>Assumptions - Costs and Growth Rates</t>
  </si>
  <si>
    <t>Annual Cost</t>
  </si>
  <si>
    <t>CAGR</t>
  </si>
  <si>
    <t>Professional Services</t>
  </si>
  <si>
    <t>More contracts, audits, but some scale efficiency</t>
  </si>
  <si>
    <t>Office</t>
  </si>
  <si>
    <t>Mostly fixed, hybrid model</t>
  </si>
  <si>
    <t>R&amp;D Expenses</t>
  </si>
  <si>
    <t>Product depth, verification logic, scaling team, softwares, Excluding capital expenditures</t>
  </si>
  <si>
    <t>Sales and Marketing</t>
  </si>
  <si>
    <t>GTM expansion, US entry, events, partnerships</t>
  </si>
  <si>
    <t>Travel</t>
  </si>
  <si>
    <t>Geographic expansion, still controlled</t>
  </si>
  <si>
    <t>Administrative</t>
  </si>
  <si>
    <t>Insurance, office supplies, etc.</t>
  </si>
  <si>
    <t>Other costs</t>
  </si>
  <si>
    <t>Inflation + buffers, contingency scales modestly</t>
  </si>
  <si>
    <t>Operating Expenses Projection</t>
  </si>
  <si>
    <t>Quarterly Operating Costs (years 1 and 2)</t>
  </si>
  <si>
    <t>Annual Operating Costs (years 3 to 6)</t>
  </si>
  <si>
    <t>Initial Startup costs</t>
  </si>
  <si>
    <t>Other Expenses</t>
  </si>
  <si>
    <t>Corporate Tax Rate</t>
  </si>
  <si>
    <t>Tax on Profit over</t>
  </si>
  <si>
    <t>per year</t>
  </si>
  <si>
    <t>Capital Expenditure</t>
  </si>
  <si>
    <t>Capital Expenditure Projections</t>
  </si>
  <si>
    <t>Capital Expenses - Items, value, and ownership length</t>
  </si>
  <si>
    <t>Cost</t>
  </si>
  <si>
    <t>Date of Purchase</t>
  </si>
  <si>
    <t>Ownership length (years)</t>
  </si>
  <si>
    <t>Value at end of ownership</t>
  </si>
  <si>
    <t>Office Laptops</t>
  </si>
  <si>
    <t>Company Vehicle</t>
  </si>
  <si>
    <t>Office Furniture</t>
  </si>
  <si>
    <t>Capital Expenditure - Impact on Income Statement (Depreciation &amp; Amortization)</t>
  </si>
  <si>
    <t>Quarterly CapEx (years 1 and 2)</t>
  </si>
  <si>
    <t>Annual CapEx (years 3 to 6)</t>
  </si>
  <si>
    <t>Capital Expenditure - Impact on Cash Flow</t>
  </si>
  <si>
    <t>Quarterly Cash Flow from CapEx (years 1 and 2)</t>
  </si>
  <si>
    <t>Annual Cash Flow from CapEx (years 3 to 6)</t>
  </si>
  <si>
    <t>Empty</t>
  </si>
  <si>
    <t>Capital Asset Value - Impact on Balance Sheet</t>
  </si>
  <si>
    <t>Quarterly Balance Sheet impact from CapEx (years 1 and 2)</t>
  </si>
  <si>
    <t>Annual Balance Sheet impact from CapEx (years 3 to 6)</t>
  </si>
  <si>
    <t>Expenses Projections</t>
  </si>
  <si>
    <t>Assumptions</t>
  </si>
  <si>
    <t>COS method choice</t>
  </si>
  <si>
    <t>Total Expenses</t>
  </si>
  <si>
    <t>COS</t>
  </si>
  <si>
    <t>Operating Expenses (incl. payroll)</t>
  </si>
  <si>
    <t>Depreciation and Amortization</t>
  </si>
  <si>
    <t>Working Cap. Schedule</t>
  </si>
  <si>
    <t>Working Capital Schedule</t>
  </si>
  <si>
    <t>COGS method choice</t>
  </si>
  <si>
    <t>Revenues bottom up values chosen</t>
  </si>
  <si>
    <t>Top-up</t>
  </si>
  <si>
    <t>Inputs and Assumptions</t>
  </si>
  <si>
    <t>Quarterly (years 1 and 2)</t>
  </si>
  <si>
    <t>Annual (years 3 to 6)</t>
  </si>
  <si>
    <t>Accounts Receivable (collection period in days)</t>
  </si>
  <si>
    <t>Inventories (days outstanding)</t>
  </si>
  <si>
    <t>Accounts Payable (days outstanding)</t>
  </si>
  <si>
    <t>Accrued Liabilities (as % of cost of sales)</t>
  </si>
  <si>
    <t>Costs and Revenues (previously calculated)</t>
  </si>
  <si>
    <t>Working Capital Balances</t>
  </si>
  <si>
    <t>Non-Cash Current Assets</t>
  </si>
  <si>
    <t>Accounts Receivable</t>
  </si>
  <si>
    <t>Inventories</t>
  </si>
  <si>
    <t>Non-Debt Current Liabilities</t>
  </si>
  <si>
    <t>Accounts Payable</t>
  </si>
  <si>
    <t>Net Working Capital / (Deficit)</t>
  </si>
  <si>
    <t>Change in Net Working Capital</t>
  </si>
  <si>
    <t>Cash Flows by Individual Accounts</t>
  </si>
  <si>
    <t>(Increase) / Decrease in Net Working Capital</t>
  </si>
  <si>
    <t>Q.3. Financing</t>
  </si>
  <si>
    <t>Fundraising and Debt</t>
  </si>
  <si>
    <t>Financing: Fundraising and Debt</t>
  </si>
  <si>
    <t>Equity Fundraising</t>
  </si>
  <si>
    <t xml:space="preserve">Minimum one value required  </t>
  </si>
  <si>
    <t>Amount Raised</t>
  </si>
  <si>
    <t>Date</t>
  </si>
  <si>
    <t>Price per Share (if given)</t>
  </si>
  <si>
    <t>Ownership % Required (if given)</t>
  </si>
  <si>
    <t>Milestone</t>
  </si>
  <si>
    <t>Pre Seed Round</t>
  </si>
  <si>
    <t>MVP built; first NGOs onboarded; pilot corporate customers live</t>
  </si>
  <si>
    <t>Seed Round</t>
  </si>
  <si>
    <t>Product–market fit; recurring subscriptions; verified NGO marketplace</t>
  </si>
  <si>
    <t>Series A</t>
  </si>
  <si>
    <t>Scalable SaaS; strong ARR growth; DACH/EU expansion</t>
  </si>
  <si>
    <t>Series B</t>
  </si>
  <si>
    <t>Enterprise adoption; advanced analytics; strategic partnerships; US entry</t>
  </si>
  <si>
    <t>Series C</t>
  </si>
  <si>
    <t>Market leadership; global expansion; exit-ready platform</t>
  </si>
  <si>
    <t>Debt</t>
  </si>
  <si>
    <t>Amount of Loan</t>
  </si>
  <si>
    <t>Monthly payments</t>
  </si>
  <si>
    <t>Start date of Loan</t>
  </si>
  <si>
    <t>Length of Loan (years)</t>
  </si>
  <si>
    <t>Notes</t>
  </si>
  <si>
    <t>Loan 1</t>
  </si>
  <si>
    <t>Loan 2</t>
  </si>
  <si>
    <t>Loan 3</t>
  </si>
  <si>
    <t>Loan 4</t>
  </si>
  <si>
    <t>Loan 5</t>
  </si>
  <si>
    <t>Income from Equity Fundraising</t>
  </si>
  <si>
    <t>Change in Debt</t>
  </si>
  <si>
    <t>Interest Payments</t>
  </si>
  <si>
    <t>Q.1. Bottom Up Sales Funnel and Calculations</t>
  </si>
  <si>
    <t>Inputs</t>
  </si>
  <si>
    <t>Starting Month for the sales</t>
  </si>
  <si>
    <t>In 2026, only production and pilot customers. No sales</t>
  </si>
  <si>
    <t>Leads per month</t>
  </si>
  <si>
    <t xml:space="preserve">By all the means like online marketing (google, linkedin, meta), conferences, one to one meetings etc. </t>
  </si>
  <si>
    <t>Month-over-month growth of leads</t>
  </si>
  <si>
    <t>Lead to Free subscription</t>
  </si>
  <si>
    <t>Lead to Professional subscription</t>
  </si>
  <si>
    <t>Lead to Premium subscription</t>
  </si>
  <si>
    <t>Annual churn Professional (% that do not renew yearly)</t>
  </si>
  <si>
    <t>Retention Professional</t>
  </si>
  <si>
    <t>Annual churn Premium</t>
  </si>
  <si>
    <t>Retention Premium</t>
  </si>
  <si>
    <t>Annual churn for Free tier taken as zero</t>
  </si>
  <si>
    <t>Calculation Engine cum Sales Funnel Table (Seasonality is taken as 1.0 throughout the sales funnel)</t>
  </si>
  <si>
    <t>Month</t>
  </si>
  <si>
    <t>Leads</t>
  </si>
  <si>
    <t>New Free</t>
  </si>
  <si>
    <t>New Pro</t>
  </si>
  <si>
    <t>New Prem</t>
  </si>
  <si>
    <t>Renew Pro</t>
  </si>
  <si>
    <t>Renew Prem</t>
  </si>
  <si>
    <t>Units Sold Pro</t>
  </si>
  <si>
    <t>Unit Sold Prem</t>
  </si>
  <si>
    <t>Active Free</t>
  </si>
  <si>
    <t>Active Pro</t>
  </si>
  <si>
    <t>Active Prem</t>
  </si>
  <si>
    <t>Q.1. &amp; Q.3. Statements</t>
  </si>
  <si>
    <t>1. Cash Flow Statement</t>
  </si>
  <si>
    <t>Cash Flow Statement</t>
  </si>
  <si>
    <t>Assumption</t>
  </si>
  <si>
    <t>Bottom up Revenue and bottom up COGS values taken</t>
  </si>
  <si>
    <t>Cash Flows</t>
  </si>
  <si>
    <t>Cash Flow Statement Projection</t>
  </si>
  <si>
    <t>Quarterly Cash Flow (years 1 and 2)</t>
  </si>
  <si>
    <t>Annual Cash Flow (years 3 to 6)</t>
  </si>
  <si>
    <t>Starting date</t>
  </si>
  <si>
    <t>Beginning Cash Balance</t>
  </si>
  <si>
    <t>Operating</t>
  </si>
  <si>
    <t>COGS</t>
  </si>
  <si>
    <t>Operating Expenses</t>
  </si>
  <si>
    <t>Taxes</t>
  </si>
  <si>
    <t>Total Operating</t>
  </si>
  <si>
    <t>Investing</t>
  </si>
  <si>
    <t>Total Cash Flow - Annual Forecast (6 years)</t>
  </si>
  <si>
    <t>Capital Expenses</t>
  </si>
  <si>
    <t>Other Investments</t>
  </si>
  <si>
    <t>Total Investing</t>
  </si>
  <si>
    <t>Cash flow before financing</t>
  </si>
  <si>
    <t>Cash flows</t>
  </si>
  <si>
    <t>Ending cash balance</t>
  </si>
  <si>
    <t>Financing</t>
  </si>
  <si>
    <t>Equity Funding</t>
  </si>
  <si>
    <t>Total Financing</t>
  </si>
  <si>
    <t>Cash Flow</t>
  </si>
  <si>
    <t>Ending Cash Balance</t>
  </si>
  <si>
    <t>Is the Company Bankrupt? 
(Ending Cash at any time&lt;0)</t>
  </si>
  <si>
    <t>Free Cash Flow (from Operations and Investing Before Financing) - Annual Forecast (6 years)</t>
  </si>
  <si>
    <t>2. Income Statement</t>
  </si>
  <si>
    <t>Income Statement Projections</t>
  </si>
  <si>
    <t>Gross Profit</t>
  </si>
  <si>
    <t>Gross Margin</t>
  </si>
  <si>
    <t>Operting Expenses</t>
  </si>
  <si>
    <t>EBITDA</t>
  </si>
  <si>
    <t>Depreciation/Amortisation</t>
  </si>
  <si>
    <t>Operating Profit (EBIT)</t>
  </si>
  <si>
    <t>Financing Expenses</t>
  </si>
  <si>
    <t>Profit before Tax</t>
  </si>
  <si>
    <t>Profit after Tax (Net Income)</t>
  </si>
  <si>
    <t>3. Balance Sheet</t>
  </si>
  <si>
    <t>Balance Sheet Projections</t>
  </si>
  <si>
    <t>Quarterly Balance Sheet (years 1 and 2)</t>
  </si>
  <si>
    <t>Annual Balance Sheet (years 3 to 6)</t>
  </si>
  <si>
    <t>Assets</t>
  </si>
  <si>
    <t>Cash</t>
  </si>
  <si>
    <t>Fixed Assets</t>
  </si>
  <si>
    <t>Depreciation</t>
  </si>
  <si>
    <t>Total Assets</t>
  </si>
  <si>
    <t>Liabilities</t>
  </si>
  <si>
    <t>Total Liabilities</t>
  </si>
  <si>
    <t>Equity Value</t>
  </si>
  <si>
    <t>Equity and Total Liabilities</t>
  </si>
  <si>
    <t>4. Profitability Chart</t>
  </si>
  <si>
    <t>Additional Charts</t>
  </si>
  <si>
    <t>Measures of Profitability</t>
  </si>
  <si>
    <t>Quarterly Profit (years 1 and 2)</t>
  </si>
  <si>
    <t>Annual Profit (years 3 to 6)</t>
  </si>
  <si>
    <t>5. DCF Valuation</t>
  </si>
  <si>
    <t>Discounted Cash Flow Valuation (DCF) (based on required company growth rate)</t>
  </si>
  <si>
    <t>Discount Rate</t>
  </si>
  <si>
    <t>Company Growth Rate</t>
  </si>
  <si>
    <t>Free Cash Flow and Terminal Value</t>
  </si>
  <si>
    <t>EBIT</t>
  </si>
  <si>
    <t>Other</t>
  </si>
  <si>
    <t>Terminal Value</t>
  </si>
  <si>
    <t>Free Cash Flow</t>
  </si>
  <si>
    <t>Discount Factor</t>
  </si>
  <si>
    <t>Discounted FCF</t>
  </si>
  <si>
    <t>Valuation</t>
  </si>
  <si>
    <t>In Millions</t>
  </si>
  <si>
    <t>Net Present Value</t>
  </si>
  <si>
    <t>Q.2. Valuation Based on Comparables</t>
  </si>
  <si>
    <t>Input:Comparable Company Valuation Data</t>
  </si>
  <si>
    <t>Comparable Company Valuation Data</t>
  </si>
  <si>
    <t>Data as on 31  December 2024</t>
  </si>
  <si>
    <t>(dollars in millions)</t>
  </si>
  <si>
    <t>*Values as per Yahoo Finance</t>
  </si>
  <si>
    <t>Company Name (Ticker)</t>
  </si>
  <si>
    <t>Enterprise Value* (EV)</t>
  </si>
  <si>
    <t xml:space="preserve"> Revenue* (Latest or Forward)</t>
  </si>
  <si>
    <t>EBITDA* (Normalized)</t>
  </si>
  <si>
    <t>EV/Revenue</t>
  </si>
  <si>
    <t>EV/EBITDA</t>
  </si>
  <si>
    <t>EV/Revenue as per Yahoo Finance</t>
  </si>
  <si>
    <t>EV/EBITDA as per Yahoo Finance</t>
  </si>
  <si>
    <t>S&amp;P Global (SPGI)</t>
  </si>
  <si>
    <t>Blackbaud (BLKB)</t>
  </si>
  <si>
    <t>ServiceNow (NOW)</t>
  </si>
  <si>
    <t>Salesforce(CRM)</t>
  </si>
  <si>
    <t>IBM (IBM)</t>
  </si>
  <si>
    <t>Summary Statistics</t>
  </si>
  <si>
    <t>Mean</t>
  </si>
  <si>
    <t>Median</t>
  </si>
  <si>
    <t>Company descriptions:</t>
  </si>
  <si>
    <t>Parameters for selection: ESG/impact software + ESG data/trust infrastructure + Public + Positive EBITDA</t>
  </si>
  <si>
    <t>S&amp;P Global supplies ESG data, benchmarks, and ratings used by enterprises and stakeholders to assess sustainability performance. Similar to Sustainsphere, it monetize trust, standardization, and credibility of ESG/impact data, though SustainSphere is execution-oriented rather than rating-only.</t>
  </si>
  <si>
    <t>Blackbaud provides software platforms connecting nonprofits, foundations, and corporate donors to manage giving, impact, and reporting at scale.Like SustainSphere, Blackbaud operates at the intersection of corporates and social-impact organizations, enabling measurable and reportable impact.</t>
  </si>
  <si>
    <t>ServiceNow is an enterprise workflow platform that digitizes governance, compliance, and operational processes across large organizations. SustainSphere similarly digitizes and automates CSR partner discovery, verification, execution, and reporting workflows for enterprises.</t>
  </si>
  <si>
    <t>Salesforce operates a large-scale enterprise platform combining data, workflows, analytics, and ecosystem connectivity, including sustainability and ESG modules. It relies on platform economics, network effects, and visibility dashboards to create recurring value for enterprise customers just like the aims of Sustainsphere.</t>
  </si>
  <si>
    <t>IBM provides enterprise software and data platforms, including ESG and sustainability reporting solutions through acquisitions like Envizi. IBM represents the ESG infrastructure and verification layer that SustainSphere aims to offer in a more focused, CSR-network-centric form.</t>
  </si>
  <si>
    <t>1. VCM Valuation (based on Company Comparables)</t>
  </si>
  <si>
    <t>Venture Capital Model based on Company Comparables Method</t>
  </si>
  <si>
    <t>Highest Ratio</t>
  </si>
  <si>
    <t>Revenue of the last Year</t>
  </si>
  <si>
    <t>Calculate by ratio</t>
  </si>
  <si>
    <t>Lowest Ratio</t>
  </si>
  <si>
    <t>Multiple</t>
  </si>
  <si>
    <t>Take</t>
  </si>
  <si>
    <t>Median Ratio</t>
  </si>
  <si>
    <t>Mean Ratio</t>
  </si>
  <si>
    <t>Discount rate</t>
  </si>
  <si>
    <t>Selected Ratio</t>
  </si>
  <si>
    <t>Calculations</t>
  </si>
  <si>
    <t>Estimated exit value</t>
  </si>
  <si>
    <t>Assumption:  Metric multiple discounted by 30% for public companies</t>
  </si>
  <si>
    <t>Net Present Value of the Company</t>
  </si>
  <si>
    <t>VCM Sensitivity Analysis</t>
  </si>
  <si>
    <t>Using EV/Revenue</t>
  </si>
  <si>
    <t>Using EV/EBITDA</t>
  </si>
  <si>
    <t>Ratio</t>
  </si>
  <si>
    <t>NPV using EV/Revenue Multiple</t>
  </si>
  <si>
    <t>NPV using EV/EBITDA multiple</t>
  </si>
  <si>
    <t>2. DCF Valuation (based on Company Comparables)</t>
  </si>
  <si>
    <t>Valuation with the Discounted Cash Flow method (based on Company Comparables)</t>
  </si>
  <si>
    <t>Revenue</t>
  </si>
  <si>
    <t>Discount factor</t>
  </si>
  <si>
    <t>Discounted free cash flows</t>
  </si>
  <si>
    <t>Exit Enterprise Value</t>
  </si>
  <si>
    <t>Net Present Value of Exit Enterprise Value</t>
  </si>
  <si>
    <t>DCF Sensitivity Analysis</t>
  </si>
  <si>
    <t>Q.3. &amp; Q. 4. Cap Table</t>
  </si>
  <si>
    <t>Start</t>
  </si>
  <si>
    <t>Pre-Seed</t>
  </si>
  <si>
    <t>Seed</t>
  </si>
  <si>
    <t>Timing</t>
  </si>
  <si>
    <t>ESOP</t>
  </si>
  <si>
    <t>Price Per Share</t>
  </si>
  <si>
    <t>Pre-Money Valuation</t>
  </si>
  <si>
    <t>New Capital/Round Investment</t>
  </si>
  <si>
    <t xml:space="preserve">Round Ownership Percentage </t>
  </si>
  <si>
    <t>Post Money Valuation</t>
  </si>
  <si>
    <t>New Shares</t>
  </si>
  <si>
    <t>Conditional attainment probability</t>
  </si>
  <si>
    <t>Risk adjusted Expected Capital raised based on conditional</t>
  </si>
  <si>
    <t>Shares</t>
  </si>
  <si>
    <t>Total Shares</t>
  </si>
  <si>
    <t>Founders Total Share</t>
  </si>
  <si>
    <t>Founder #1</t>
  </si>
  <si>
    <t>Founder #2</t>
  </si>
  <si>
    <t>Founder #3</t>
  </si>
  <si>
    <t>Founder #4</t>
  </si>
  <si>
    <t>Founder #5</t>
  </si>
  <si>
    <t>Investors</t>
  </si>
  <si>
    <t>Pre-Seed Investors</t>
  </si>
  <si>
    <t>Seed Investors</t>
  </si>
  <si>
    <t>Series A Investors</t>
  </si>
  <si>
    <t>Series B Investors</t>
  </si>
  <si>
    <t>Series C Investors</t>
  </si>
  <si>
    <t>Stock Option Pool (ESOP)</t>
  </si>
  <si>
    <t>Equity Ownership</t>
  </si>
  <si>
    <t>Founders</t>
  </si>
  <si>
    <t>Post-Money Valuation</t>
  </si>
  <si>
    <t>Price per Share</t>
  </si>
  <si>
    <t>EQUITY - Calculations</t>
  </si>
  <si>
    <t>% Total New Equity</t>
  </si>
  <si>
    <t>% New Capital</t>
  </si>
  <si>
    <t>% SAFE Pre-Seed</t>
  </si>
  <si>
    <t>% SAFE Seed</t>
  </si>
  <si>
    <t>% SAFE Series A</t>
  </si>
  <si>
    <t>% SAFE Series B</t>
  </si>
  <si>
    <t>SAFE - Calculations</t>
  </si>
  <si>
    <t>Pre-Seed SAFEs</t>
  </si>
  <si>
    <t>Months past</t>
  </si>
  <si>
    <t>Accrued interest</t>
  </si>
  <si>
    <t>Applicable Valuation</t>
  </si>
  <si>
    <t>Converting Capital</t>
  </si>
  <si>
    <t>Seed SAFEs</t>
  </si>
  <si>
    <t>Series A SAFEs</t>
  </si>
  <si>
    <t>Series B SAFEs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</si>
</sst>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3" formatCode="_-* #,##0.00_-;\-* #,##0.00_-;_-* &quot;-&quot;??_-;_-@_-"/>
    <numFmt numFmtId="164" formatCode="[$-F800]dddd\,\ mmmm\ dd\,\ yyyy"/>
    <numFmt numFmtId="165" formatCode="0.0%"/>
    <numFmt numFmtId="166" formatCode="_-* #,##0_-;\-* #,##0_-;_-* &quot;-&quot;??_-;_-@_-"/>
    <numFmt numFmtId="167" formatCode="mmm\ yyyy"/>
    <numFmt numFmtId="168" formatCode="&quot;£&quot;#,##0"/>
    <numFmt numFmtId="169" formatCode="#,##0_);\(#,##0\);_-* &quot;-&quot;??_-;_-@_-"/>
    <numFmt numFmtId="170" formatCode="&quot;$&quot;#,##0.0_);\(&quot;$&quot;#,##0.0\)"/>
    <numFmt numFmtId="171" formatCode="0.000"/>
    <numFmt numFmtId="172" formatCode="_(* #,##0.00_);_(* \(#,##0.00\);_(* &quot;-&quot;??_);_(@_)"/>
    <numFmt numFmtId="173" formatCode="&quot;$&quot;#,##0"/>
    <numFmt numFmtId="174" formatCode="0.0\×"/>
    <numFmt numFmtId="175" formatCode="_(\ #,##0.0###_);_(\(\ #,##0.0###\)_);_(\ &quot; - &quot;_)"/>
    <numFmt numFmtId="176" formatCode="#,##0.000"/>
    <numFmt numFmtId="177" formatCode="mm/yyyy"/>
    <numFmt numFmtId="178" formatCode="#,##0;\(#,##0\);\-"/>
    <numFmt numFmtId="179" formatCode="0.0%;\(0.0%\);\-"/>
    <numFmt numFmtId="180" formatCode="0%;\(0%\);\-"/>
    <numFmt numFmtId="181" formatCode="#,##0.0;\(#,##0.0\);\-"/>
    <numFmt numFmtId="182" formatCode="0.00%;\(0.00%\);\-"/>
    <numFmt numFmtId="183" formatCode="#,##0.00_);\(#,##0.00\);_-* &quot;-&quot;??_-;_-@_-"/>
    <numFmt numFmtId="184" formatCode="#,##0.00;\(#,##0.00\);\-"/>
  </numFmts>
  <fonts count="53" x14ac:knownFonts="1">
    <font>
      <sz val="11"/>
      <color theme="1"/>
      <name val="Aptos Narrow"/>
      <family val="2"/>
      <scheme val="minor"/>
    </font>
    <font>
      <sz val="11"/>
      <color theme="1"/>
      <name val="Aptos Narrow"/>
      <family val="2"/>
      <scheme val="minor"/>
    </font>
    <font>
      <b/>
      <sz val="15"/>
      <color theme="3"/>
      <name val="Aptos Narrow"/>
      <family val="2"/>
      <scheme val="minor"/>
    </font>
    <font>
      <b/>
      <sz val="13"/>
      <color theme="3"/>
      <name val="Aptos Narrow"/>
      <family val="2"/>
      <scheme val="minor"/>
    </font>
    <font>
      <b/>
      <sz val="11"/>
      <color theme="0"/>
      <name val="Aptos Narrow"/>
      <family val="2"/>
      <scheme val="minor"/>
    </font>
    <font>
      <sz val="11"/>
      <color rgb="FFFF0000"/>
      <name val="Aptos Narrow"/>
      <family val="2"/>
      <scheme val="minor"/>
    </font>
    <font>
      <b/>
      <sz val="11"/>
      <color theme="1"/>
      <name val="Aptos Narrow"/>
      <family val="2"/>
      <scheme val="minor"/>
    </font>
    <font>
      <b/>
      <sz val="11"/>
      <name val="Aptos Narrow"/>
      <family val="2"/>
      <scheme val="minor"/>
    </font>
    <font>
      <b/>
      <sz val="12"/>
      <name val="Aptos Narrow"/>
      <family val="2"/>
      <scheme val="minor"/>
    </font>
    <font>
      <sz val="18"/>
      <color theme="0"/>
      <name val="Aptos Narrow"/>
      <family val="2"/>
      <scheme val="minor"/>
    </font>
    <font>
      <b/>
      <i/>
      <sz val="11"/>
      <color theme="1"/>
      <name val="Aptos Narrow"/>
      <family val="2"/>
      <scheme val="minor"/>
    </font>
    <font>
      <b/>
      <sz val="12"/>
      <color theme="1"/>
      <name val="Aptos Narrow"/>
      <family val="2"/>
      <scheme val="minor"/>
    </font>
    <font>
      <sz val="12"/>
      <color theme="1"/>
      <name val="Aptos Narrow"/>
      <family val="2"/>
      <scheme val="minor"/>
    </font>
    <font>
      <sz val="10"/>
      <color theme="1"/>
      <name val="Aptos Narrow"/>
      <family val="2"/>
      <scheme val="minor"/>
    </font>
    <font>
      <b/>
      <i/>
      <sz val="11"/>
      <color theme="3" tint="-0.499984740745262"/>
      <name val="Aptos Narrow"/>
      <family val="2"/>
      <scheme val="minor"/>
    </font>
    <font>
      <sz val="11"/>
      <color rgb="FF000000"/>
      <name val="Aptos Narrow"/>
      <family val="2"/>
      <scheme val="minor"/>
    </font>
    <font>
      <b/>
      <sz val="10"/>
      <color theme="3" tint="-0.499984740745262"/>
      <name val="Arial"/>
      <family val="2"/>
    </font>
    <font>
      <b/>
      <sz val="10"/>
      <color theme="1"/>
      <name val="Aptos Narrow"/>
      <family val="2"/>
      <scheme val="minor"/>
    </font>
    <font>
      <b/>
      <i/>
      <sz val="10"/>
      <color theme="3" tint="-0.499984740745262"/>
      <name val="Aptos Narrow"/>
      <family val="2"/>
      <scheme val="minor"/>
    </font>
    <font>
      <sz val="10"/>
      <color theme="3" tint="-0.499984740745262"/>
      <name val="Arial"/>
      <family val="2"/>
    </font>
    <font>
      <i/>
      <sz val="11"/>
      <color theme="1"/>
      <name val="Aptos Narrow"/>
      <family val="2"/>
      <scheme val="minor"/>
    </font>
    <font>
      <b/>
      <i/>
      <sz val="11"/>
      <name val="Aptos Narrow"/>
      <family val="2"/>
      <scheme val="minor"/>
    </font>
    <font>
      <sz val="10"/>
      <name val="Arial"/>
      <family val="2"/>
    </font>
    <font>
      <b/>
      <sz val="16"/>
      <color theme="0"/>
      <name val="Aptos Narrow"/>
      <family val="2"/>
      <scheme val="minor"/>
    </font>
    <font>
      <sz val="12"/>
      <color theme="0"/>
      <name val="Aptos Narrow"/>
      <family val="2"/>
      <scheme val="minor"/>
    </font>
    <font>
      <i/>
      <sz val="12"/>
      <color theme="1"/>
      <name val="Aptos Narrow"/>
      <family val="2"/>
      <scheme val="minor"/>
    </font>
    <font>
      <sz val="10"/>
      <color theme="1"/>
      <name val="Aptos"/>
      <family val="2"/>
    </font>
    <font>
      <b/>
      <sz val="10"/>
      <color theme="1"/>
      <name val="Aptos"/>
      <family val="2"/>
    </font>
    <font>
      <sz val="10"/>
      <name val="Aptos"/>
      <family val="2"/>
    </font>
    <font>
      <b/>
      <sz val="10"/>
      <color theme="0"/>
      <name val="Aptos"/>
      <family val="2"/>
    </font>
    <font>
      <sz val="11"/>
      <color theme="1"/>
      <name val="Aptos"/>
      <family val="2"/>
    </font>
    <font>
      <b/>
      <sz val="10"/>
      <color rgb="FF2351CF"/>
      <name val="Aptos"/>
      <family val="2"/>
    </font>
    <font>
      <sz val="11"/>
      <name val="Aptos Narrow"/>
      <family val="2"/>
      <scheme val="minor"/>
    </font>
    <font>
      <b/>
      <sz val="11"/>
      <color indexed="8"/>
      <name val="Aptos Narrow"/>
      <family val="2"/>
      <scheme val="minor"/>
    </font>
    <font>
      <sz val="11"/>
      <color indexed="8"/>
      <name val="Aptos Narrow"/>
      <family val="2"/>
      <scheme val="minor"/>
    </font>
    <font>
      <sz val="10"/>
      <name val="Aptos Narrow"/>
      <family val="2"/>
      <scheme val="minor"/>
    </font>
    <font>
      <b/>
      <sz val="14"/>
      <color theme="0"/>
      <name val="Aptos"/>
      <family val="2"/>
    </font>
    <font>
      <b/>
      <sz val="16"/>
      <color theme="0"/>
      <name val="Aptos"/>
      <family val="2"/>
    </font>
    <font>
      <sz val="16"/>
      <color theme="0"/>
      <name val="Aptos"/>
      <family val="2"/>
    </font>
    <font>
      <b/>
      <sz val="11"/>
      <color theme="1"/>
      <name val="Aptos"/>
      <family val="2"/>
    </font>
    <font>
      <b/>
      <sz val="16"/>
      <color theme="1"/>
      <name val="Aptos"/>
      <family val="2"/>
    </font>
    <font>
      <b/>
      <sz val="11"/>
      <color rgb="FF2351CF"/>
      <name val="Aptos"/>
      <family val="2"/>
    </font>
    <font>
      <b/>
      <sz val="11"/>
      <color rgb="FF2351CF"/>
      <name val="Aptos Narrow"/>
      <family val="2"/>
      <scheme val="minor"/>
    </font>
    <font>
      <b/>
      <sz val="15"/>
      <color theme="0"/>
      <name val="Aptos Narrow"/>
      <family val="2"/>
      <scheme val="minor"/>
    </font>
    <font>
      <b/>
      <sz val="18"/>
      <color theme="0"/>
      <name val="Aptos Narrow"/>
      <family val="2"/>
      <scheme val="minor"/>
    </font>
    <font>
      <b/>
      <sz val="11"/>
      <color rgb="FFC00000"/>
      <name val="Aptos Narrow"/>
      <family val="2"/>
      <scheme val="minor"/>
    </font>
    <font>
      <b/>
      <sz val="16"/>
      <color rgb="FFC00000"/>
      <name val="Aptos Narrow"/>
      <family val="2"/>
      <scheme val="minor"/>
    </font>
    <font>
      <b/>
      <sz val="18"/>
      <color theme="0"/>
      <name val="Aptos"/>
      <family val="2"/>
    </font>
    <font>
      <b/>
      <sz val="14"/>
      <color theme="1"/>
      <name val="Aptos Narrow"/>
      <family val="2"/>
      <scheme val="minor"/>
    </font>
    <font>
      <sz val="11"/>
      <color rgb="FF000000"/>
      <name val="Calibri"/>
      <family val="2"/>
    </font>
    <font>
      <b/>
      <sz val="12"/>
      <color rgb="FF000000"/>
      <name val="Calibri"/>
      <family val="2"/>
    </font>
    <font>
      <sz val="14"/>
      <color theme="1"/>
      <name val="Aptos Narrow"/>
      <family val="2"/>
      <scheme val="minor"/>
    </font>
    <font>
      <b/>
      <sz val="12"/>
      <color theme="0"/>
      <name val="Aptos Narrow"/>
      <family val="2"/>
      <scheme val="minor"/>
    </font>
  </fonts>
  <fills count="28">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rgb="FFFFFFC9"/>
        <bgColor indexed="64"/>
      </patternFill>
    </fill>
    <fill>
      <patternFill patternType="solid">
        <fgColor theme="3" tint="0.39997558519241921"/>
        <bgColor indexed="64"/>
      </patternFill>
    </fill>
    <fill>
      <patternFill patternType="solid">
        <fgColor rgb="FFEAF1FA"/>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3"/>
        <bgColor indexed="64"/>
      </patternFill>
    </fill>
    <fill>
      <patternFill patternType="solid">
        <fgColor rgb="FFFFFFC9"/>
        <bgColor rgb="FF000000"/>
      </patternFill>
    </fill>
    <fill>
      <patternFill patternType="solid">
        <fgColor theme="9" tint="0.79998168889431442"/>
        <bgColor rgb="FF000000"/>
      </patternFill>
    </fill>
    <fill>
      <patternFill patternType="solid">
        <fgColor theme="9" tint="0.59999389629810485"/>
        <bgColor indexed="64"/>
      </patternFill>
    </fill>
    <fill>
      <patternFill patternType="solid">
        <fgColor theme="5" tint="0.79998168889431442"/>
        <bgColor indexed="64"/>
      </patternFill>
    </fill>
    <fill>
      <patternFill patternType="solid">
        <fgColor rgb="FF2351CF"/>
        <bgColor indexed="64"/>
      </patternFill>
    </fill>
    <fill>
      <patternFill patternType="lightUp">
        <fgColor theme="0"/>
        <bgColor rgb="FFF1F2F3"/>
      </patternFill>
    </fill>
    <fill>
      <patternFill patternType="solid">
        <fgColor rgb="FFEEF2FC"/>
        <bgColor indexed="64"/>
      </patternFill>
    </fill>
    <fill>
      <patternFill patternType="solid">
        <fgColor rgb="FF0070C0"/>
        <bgColor indexed="64"/>
      </patternFill>
    </fill>
    <fill>
      <patternFill patternType="solid">
        <fgColor theme="3" tint="0.89999084444715716"/>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00B0F0"/>
        <bgColor indexed="64"/>
      </patternFill>
    </fill>
  </fills>
  <borders count="65">
    <border>
      <left/>
      <right/>
      <top/>
      <bottom/>
      <diagonal/>
    </border>
    <border>
      <left/>
      <right/>
      <top/>
      <bottom style="thick">
        <color theme="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3" tint="-0.24994659260841701"/>
      </bottom>
      <diagonal/>
    </border>
    <border>
      <left style="thick">
        <color theme="3" tint="-0.499984740745262"/>
      </left>
      <right/>
      <top style="thick">
        <color theme="3" tint="-0.499984740745262"/>
      </top>
      <bottom style="thick">
        <color theme="3" tint="-0.499984740745262"/>
      </bottom>
      <diagonal/>
    </border>
    <border>
      <left/>
      <right/>
      <top style="thick">
        <color theme="3" tint="-0.499984740745262"/>
      </top>
      <bottom style="thick">
        <color theme="3" tint="-0.499984740745262"/>
      </bottom>
      <diagonal/>
    </border>
    <border>
      <left/>
      <right style="thick">
        <color theme="3" tint="-0.499984740745262"/>
      </right>
      <top style="thick">
        <color theme="3" tint="-0.499984740745262"/>
      </top>
      <bottom style="thick">
        <color theme="3" tint="-0.499984740745262"/>
      </bottom>
      <diagonal/>
    </border>
    <border>
      <left style="thick">
        <color theme="3" tint="-0.499984740745262"/>
      </left>
      <right/>
      <top/>
      <bottom/>
      <diagonal/>
    </border>
    <border>
      <left/>
      <right style="thick">
        <color theme="3" tint="-0.499984740745262"/>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theme="3" tint="-0.499984740745262"/>
      </left>
      <right/>
      <top/>
      <bottom style="thin">
        <color theme="3" tint="-0.499984740745262"/>
      </bottom>
      <diagonal/>
    </border>
    <border>
      <left/>
      <right/>
      <top/>
      <bottom style="thin">
        <color theme="3" tint="-0.499984740745262"/>
      </bottom>
      <diagonal/>
    </border>
    <border>
      <left/>
      <right style="thick">
        <color theme="3" tint="-0.499984740745262"/>
      </right>
      <top/>
      <bottom style="thin">
        <color theme="3" tint="-0.499984740745262"/>
      </bottom>
      <diagonal/>
    </border>
    <border>
      <left style="thick">
        <color theme="3" tint="-0.499984740745262"/>
      </left>
      <right style="thick">
        <color theme="3" tint="-0.499984740745262"/>
      </right>
      <top/>
      <bottom/>
      <diagonal/>
    </border>
    <border>
      <left style="thick">
        <color theme="3" tint="-0.499984740745262"/>
      </left>
      <right style="thin">
        <color theme="3" tint="-0.499984740745262"/>
      </right>
      <top style="thin">
        <color theme="3" tint="-0.499984740745262"/>
      </top>
      <bottom style="thin">
        <color theme="3" tint="-0.499984740745262"/>
      </bottom>
      <diagonal/>
    </border>
    <border>
      <left style="thin">
        <color theme="3" tint="-0.499984740745262"/>
      </left>
      <right style="thin">
        <color theme="3" tint="-0.499984740745262"/>
      </right>
      <top style="thin">
        <color theme="3" tint="-0.499984740745262"/>
      </top>
      <bottom style="thin">
        <color theme="3" tint="-0.499984740745262"/>
      </bottom>
      <diagonal/>
    </border>
    <border>
      <left style="thin">
        <color theme="3" tint="-0.499984740745262"/>
      </left>
      <right style="thick">
        <color theme="3" tint="-0.499984740745262"/>
      </right>
      <top style="thin">
        <color theme="3" tint="-0.499984740745262"/>
      </top>
      <bottom style="thin">
        <color theme="3" tint="-0.499984740745262"/>
      </bottom>
      <diagonal/>
    </border>
    <border>
      <left style="thin">
        <color theme="3" tint="-0.499984740745262"/>
      </left>
      <right style="thick">
        <color theme="3" tint="-0.499984740745262"/>
      </right>
      <top/>
      <bottom/>
      <diagonal/>
    </border>
    <border>
      <left style="thick">
        <color theme="3" tint="-0.499984740745262"/>
      </left>
      <right/>
      <top/>
      <bottom style="thick">
        <color theme="3" tint="-0.499984740745262"/>
      </bottom>
      <diagonal/>
    </border>
    <border>
      <left/>
      <right/>
      <top/>
      <bottom style="thick">
        <color theme="3" tint="-0.499984740745262"/>
      </bottom>
      <diagonal/>
    </border>
    <border>
      <left/>
      <right style="thick">
        <color theme="3" tint="-0.499984740745262"/>
      </right>
      <top/>
      <bottom style="thick">
        <color theme="3" tint="-0.499984740745262"/>
      </bottom>
      <diagonal/>
    </border>
    <border>
      <left style="thick">
        <color theme="3" tint="-0.499984740745262"/>
      </left>
      <right/>
      <top style="thick">
        <color theme="3" tint="-0.499984740745262"/>
      </top>
      <bottom/>
      <diagonal/>
    </border>
    <border>
      <left/>
      <right/>
      <top style="thick">
        <color theme="3" tint="-0.499984740745262"/>
      </top>
      <bottom/>
      <diagonal/>
    </border>
    <border>
      <left/>
      <right style="thick">
        <color theme="3" tint="-0.499984740745262"/>
      </right>
      <top style="thick">
        <color theme="3" tint="-0.499984740745262"/>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uble">
        <color theme="3" tint="-0.499984740745262"/>
      </top>
      <bottom style="double">
        <color theme="3" tint="-0.499984740745262"/>
      </bottom>
      <diagonal/>
    </border>
    <border>
      <left style="thick">
        <color theme="3" tint="-0.499984740745262"/>
      </left>
      <right/>
      <top style="double">
        <color theme="3" tint="-0.499984740745262"/>
      </top>
      <bottom style="double">
        <color theme="3" tint="-0.499984740745262"/>
      </bottom>
      <diagonal/>
    </border>
    <border>
      <left/>
      <right style="thick">
        <color theme="3" tint="-0.499984740745262"/>
      </right>
      <top style="double">
        <color theme="3" tint="-0.499984740745262"/>
      </top>
      <bottom style="double">
        <color theme="3" tint="-0.499984740745262"/>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theme="3" tint="-0.499984740745262"/>
      </left>
      <right style="thick">
        <color theme="3" tint="-0.499984740745262"/>
      </right>
      <top style="thick">
        <color theme="3" tint="-0.499984740745262"/>
      </top>
      <bottom/>
      <diagonal/>
    </border>
    <border>
      <left/>
      <right/>
      <top style="thin">
        <color indexed="64"/>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bottom style="medium">
        <color rgb="FF2351CF"/>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medium">
        <color theme="1"/>
      </left>
      <right style="thin">
        <color theme="1"/>
      </right>
      <top style="medium">
        <color theme="1"/>
      </top>
      <bottom style="medium">
        <color theme="1"/>
      </bottom>
      <diagonal/>
    </border>
    <border>
      <left style="thin">
        <color theme="1"/>
      </left>
      <right style="thin">
        <color theme="1"/>
      </right>
      <top style="medium">
        <color theme="1"/>
      </top>
      <bottom style="medium">
        <color theme="1"/>
      </bottom>
      <diagonal/>
    </border>
    <border>
      <left style="thin">
        <color theme="1"/>
      </left>
      <right style="medium">
        <color theme="1"/>
      </right>
      <top style="medium">
        <color theme="1"/>
      </top>
      <bottom style="medium">
        <color theme="1"/>
      </bottom>
      <diagonal/>
    </border>
    <border>
      <left style="thin">
        <color theme="1"/>
      </left>
      <right style="thin">
        <color theme="1"/>
      </right>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s>
  <cellStyleXfs count="12">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1" applyNumberFormat="0" applyFill="0" applyAlignment="0" applyProtection="0"/>
    <xf numFmtId="0" fontId="22" fillId="0" borderId="0"/>
    <xf numFmtId="172" fontId="22" fillId="0" borderId="0" applyFont="0" applyFill="0" applyBorder="0" applyAlignment="0" applyProtection="0"/>
    <xf numFmtId="172" fontId="22" fillId="0" borderId="0" applyFont="0" applyFill="0" applyBorder="0" applyAlignment="0" applyProtection="0"/>
    <xf numFmtId="9" fontId="22" fillId="0" borderId="0" applyFont="0" applyFill="0" applyBorder="0" applyAlignment="0" applyProtection="0"/>
    <xf numFmtId="0" fontId="13" fillId="0" borderId="0"/>
    <xf numFmtId="0" fontId="1" fillId="0" borderId="0"/>
    <xf numFmtId="9" fontId="1" fillId="0" borderId="0" applyFont="0" applyFill="0" applyBorder="0" applyAlignment="0" applyProtection="0"/>
    <xf numFmtId="9" fontId="13" fillId="0" borderId="0" applyFont="0" applyFill="0" applyBorder="0" applyAlignment="0" applyProtection="0"/>
  </cellStyleXfs>
  <cellXfs count="573">
    <xf numFmtId="0" fontId="0" fillId="0" borderId="0" xfId="0"/>
    <xf numFmtId="0" fontId="2" fillId="0" borderId="1" xfId="3"/>
    <xf numFmtId="0" fontId="2" fillId="0" borderId="0" xfId="3" applyBorder="1"/>
    <xf numFmtId="0" fontId="9" fillId="8" borderId="11" xfId="0" applyFont="1" applyFill="1" applyBorder="1"/>
    <xf numFmtId="0" fontId="4" fillId="8" borderId="11" xfId="0" applyFont="1" applyFill="1" applyBorder="1"/>
    <xf numFmtId="0" fontId="0" fillId="8" borderId="12" xfId="0" applyFill="1" applyBorder="1"/>
    <xf numFmtId="0" fontId="9" fillId="8" borderId="13" xfId="0" applyFont="1" applyFill="1" applyBorder="1"/>
    <xf numFmtId="0" fontId="4" fillId="8" borderId="13" xfId="0" applyFont="1" applyFill="1" applyBorder="1"/>
    <xf numFmtId="0" fontId="0" fillId="8" borderId="14" xfId="0" applyFill="1" applyBorder="1"/>
    <xf numFmtId="0" fontId="10" fillId="0" borderId="0" xfId="0" applyFont="1"/>
    <xf numFmtId="0" fontId="5" fillId="0" borderId="0" xfId="0" applyFont="1"/>
    <xf numFmtId="0" fontId="0" fillId="0" borderId="0" xfId="1" applyNumberFormat="1" applyFont="1"/>
    <xf numFmtId="0" fontId="0" fillId="0" borderId="15" xfId="0" applyBorder="1"/>
    <xf numFmtId="0" fontId="0" fillId="0" borderId="16" xfId="0" applyBorder="1"/>
    <xf numFmtId="165" fontId="0" fillId="0" borderId="0" xfId="2" applyNumberFormat="1" applyFont="1" applyBorder="1"/>
    <xf numFmtId="0" fontId="0" fillId="0" borderId="0" xfId="2" applyNumberFormat="1" applyFont="1" applyBorder="1"/>
    <xf numFmtId="0" fontId="0" fillId="0" borderId="0" xfId="2" applyNumberFormat="1" applyFont="1" applyFill="1" applyBorder="1"/>
    <xf numFmtId="0" fontId="3" fillId="0" borderId="1" xfId="3" applyFont="1"/>
    <xf numFmtId="0" fontId="11" fillId="0" borderId="0" xfId="0" applyFont="1"/>
    <xf numFmtId="0" fontId="11" fillId="0" borderId="15" xfId="0" applyFont="1" applyBorder="1"/>
    <xf numFmtId="0" fontId="11" fillId="0" borderId="16" xfId="0" applyFont="1" applyBorder="1"/>
    <xf numFmtId="0" fontId="0" fillId="0" borderId="17" xfId="0" applyBorder="1"/>
    <xf numFmtId="0" fontId="13" fillId="0" borderId="0" xfId="2" applyNumberFormat="1" applyFont="1" applyBorder="1" applyAlignment="1">
      <alignment horizontal="left"/>
    </xf>
    <xf numFmtId="0" fontId="13" fillId="0" borderId="3" xfId="2" applyNumberFormat="1" applyFont="1" applyBorder="1" applyAlignment="1">
      <alignment horizontal="left"/>
    </xf>
    <xf numFmtId="0" fontId="0" fillId="0" borderId="2" xfId="0" applyBorder="1"/>
    <xf numFmtId="0" fontId="0" fillId="0" borderId="18" xfId="0" applyBorder="1"/>
    <xf numFmtId="165" fontId="2" fillId="0" borderId="1" xfId="3" applyNumberFormat="1"/>
    <xf numFmtId="0" fontId="14" fillId="0" borderId="22" xfId="0" applyFont="1" applyBorder="1" applyAlignment="1">
      <alignment horizontal="center"/>
    </xf>
    <xf numFmtId="0" fontId="14" fillId="10" borderId="23" xfId="0" applyFont="1" applyFill="1" applyBorder="1" applyAlignment="1">
      <alignment horizontal="center"/>
    </xf>
    <xf numFmtId="0" fontId="14" fillId="10" borderId="24" xfId="0" applyFont="1" applyFill="1" applyBorder="1" applyAlignment="1">
      <alignment horizontal="center"/>
    </xf>
    <xf numFmtId="0" fontId="14" fillId="10" borderId="25" xfId="0" applyFont="1" applyFill="1" applyBorder="1" applyAlignment="1">
      <alignment horizontal="center"/>
    </xf>
    <xf numFmtId="165" fontId="0" fillId="0" borderId="0" xfId="0" applyNumberFormat="1"/>
    <xf numFmtId="166" fontId="0" fillId="0" borderId="15" xfId="1" applyNumberFormat="1" applyFont="1" applyFill="1" applyBorder="1"/>
    <xf numFmtId="166" fontId="0" fillId="0" borderId="0" xfId="1" applyNumberFormat="1" applyFont="1" applyFill="1" applyBorder="1"/>
    <xf numFmtId="166" fontId="0" fillId="0" borderId="16" xfId="1" applyNumberFormat="1" applyFont="1" applyFill="1" applyBorder="1"/>
    <xf numFmtId="0" fontId="0" fillId="0" borderId="27" xfId="0" applyBorder="1"/>
    <xf numFmtId="0" fontId="0" fillId="0" borderId="28" xfId="0" applyBorder="1"/>
    <xf numFmtId="0" fontId="0" fillId="0" borderId="29" xfId="0" applyBorder="1"/>
    <xf numFmtId="166" fontId="0" fillId="0" borderId="27" xfId="1" applyNumberFormat="1" applyFont="1" applyFill="1" applyBorder="1"/>
    <xf numFmtId="166" fontId="0" fillId="0" borderId="28" xfId="1" applyNumberFormat="1" applyFont="1" applyFill="1" applyBorder="1"/>
    <xf numFmtId="166" fontId="0" fillId="0" borderId="29" xfId="1" applyNumberFormat="1" applyFont="1" applyFill="1" applyBorder="1"/>
    <xf numFmtId="0" fontId="0" fillId="0" borderId="30" xfId="0" applyBorder="1"/>
    <xf numFmtId="0" fontId="0" fillId="0" borderId="31" xfId="0" applyBorder="1"/>
    <xf numFmtId="0" fontId="0" fillId="0" borderId="32" xfId="0" applyBorder="1"/>
    <xf numFmtId="167" fontId="4" fillId="12" borderId="15" xfId="0" applyNumberFormat="1" applyFont="1" applyFill="1" applyBorder="1" applyAlignment="1">
      <alignment horizontal="center"/>
    </xf>
    <xf numFmtId="167" fontId="4" fillId="12" borderId="0" xfId="0" applyNumberFormat="1" applyFont="1" applyFill="1" applyAlignment="1">
      <alignment horizontal="center"/>
    </xf>
    <xf numFmtId="167" fontId="4" fillId="12" borderId="26" xfId="0" applyNumberFormat="1" applyFont="1" applyFill="1" applyBorder="1" applyAlignment="1">
      <alignment horizontal="center"/>
    </xf>
    <xf numFmtId="166" fontId="16" fillId="0" borderId="31" xfId="1" applyNumberFormat="1" applyFont="1" applyFill="1" applyBorder="1"/>
    <xf numFmtId="166" fontId="16" fillId="0" borderId="32" xfId="1" applyNumberFormat="1" applyFont="1" applyFill="1" applyBorder="1"/>
    <xf numFmtId="9" fontId="0" fillId="0" borderId="0" xfId="0" applyNumberFormat="1"/>
    <xf numFmtId="168" fontId="0" fillId="0" borderId="0" xfId="0" applyNumberFormat="1"/>
    <xf numFmtId="0" fontId="4" fillId="12" borderId="0" xfId="0" applyFont="1" applyFill="1" applyAlignment="1">
      <alignment horizontal="center" vertical="center" wrapText="1"/>
    </xf>
    <xf numFmtId="0" fontId="16" fillId="0" borderId="0" xfId="0" applyFont="1"/>
    <xf numFmtId="166" fontId="0" fillId="0" borderId="0" xfId="0" applyNumberFormat="1"/>
    <xf numFmtId="165" fontId="2" fillId="0" borderId="0" xfId="3" applyNumberFormat="1" applyBorder="1"/>
    <xf numFmtId="165" fontId="2" fillId="0" borderId="7" xfId="3" applyNumberFormat="1" applyBorder="1"/>
    <xf numFmtId="0" fontId="10" fillId="0" borderId="7" xfId="0" applyFont="1" applyBorder="1"/>
    <xf numFmtId="0" fontId="10" fillId="11" borderId="7" xfId="0" applyFont="1" applyFill="1" applyBorder="1"/>
    <xf numFmtId="167" fontId="4" fillId="11" borderId="7" xfId="0" applyNumberFormat="1" applyFont="1" applyFill="1" applyBorder="1" applyAlignment="1">
      <alignment horizontal="center"/>
    </xf>
    <xf numFmtId="165" fontId="0" fillId="0" borderId="7" xfId="0" applyNumberFormat="1" applyBorder="1"/>
    <xf numFmtId="166" fontId="0" fillId="0" borderId="7" xfId="1" applyNumberFormat="1" applyFont="1" applyFill="1" applyBorder="1"/>
    <xf numFmtId="0" fontId="14" fillId="0" borderId="0" xfId="0" applyFont="1" applyAlignment="1">
      <alignment horizontal="center"/>
    </xf>
    <xf numFmtId="0" fontId="14" fillId="10" borderId="7" xfId="0" applyFont="1" applyFill="1" applyBorder="1" applyAlignment="1">
      <alignment horizontal="center"/>
    </xf>
    <xf numFmtId="165" fontId="11" fillId="2" borderId="7" xfId="2" applyNumberFormat="1" applyFont="1" applyFill="1" applyBorder="1" applyAlignment="1">
      <alignment horizontal="center"/>
    </xf>
    <xf numFmtId="166" fontId="0" fillId="2" borderId="7" xfId="1" applyNumberFormat="1" applyFont="1" applyFill="1" applyBorder="1"/>
    <xf numFmtId="165" fontId="0" fillId="2" borderId="7" xfId="2" applyNumberFormat="1" applyFont="1" applyFill="1" applyBorder="1"/>
    <xf numFmtId="165" fontId="11" fillId="7" borderId="7" xfId="2" applyNumberFormat="1" applyFont="1" applyFill="1" applyBorder="1" applyAlignment="1">
      <alignment horizontal="center"/>
    </xf>
    <xf numFmtId="0" fontId="0" fillId="7" borderId="7" xfId="1" applyNumberFormat="1" applyFont="1" applyFill="1" applyBorder="1" applyAlignment="1">
      <alignment horizontal="center"/>
    </xf>
    <xf numFmtId="166" fontId="0" fillId="7" borderId="7" xfId="1" applyNumberFormat="1" applyFont="1" applyFill="1" applyBorder="1"/>
    <xf numFmtId="165" fontId="0" fillId="7" borderId="7" xfId="2" applyNumberFormat="1" applyFont="1" applyFill="1" applyBorder="1"/>
    <xf numFmtId="165" fontId="15" fillId="14" borderId="7" xfId="0" applyNumberFormat="1" applyFont="1" applyFill="1" applyBorder="1"/>
    <xf numFmtId="165" fontId="15" fillId="13" borderId="7" xfId="0" applyNumberFormat="1" applyFont="1" applyFill="1" applyBorder="1"/>
    <xf numFmtId="10" fontId="0" fillId="2" borderId="7" xfId="2" applyNumberFormat="1" applyFont="1" applyFill="1" applyBorder="1"/>
    <xf numFmtId="10" fontId="15" fillId="14" borderId="7" xfId="0" applyNumberFormat="1" applyFont="1" applyFill="1" applyBorder="1"/>
    <xf numFmtId="10" fontId="15" fillId="13" borderId="7" xfId="0" applyNumberFormat="1" applyFont="1" applyFill="1" applyBorder="1"/>
    <xf numFmtId="10" fontId="0" fillId="7" borderId="7" xfId="2" applyNumberFormat="1" applyFont="1" applyFill="1" applyBorder="1"/>
    <xf numFmtId="0" fontId="4" fillId="12" borderId="7" xfId="0" applyFont="1" applyFill="1" applyBorder="1" applyAlignment="1">
      <alignment horizontal="center" vertical="center" wrapText="1"/>
    </xf>
    <xf numFmtId="167" fontId="4" fillId="12" borderId="7" xfId="0" applyNumberFormat="1" applyFont="1" applyFill="1" applyBorder="1" applyAlignment="1">
      <alignment horizontal="center"/>
    </xf>
    <xf numFmtId="0" fontId="16" fillId="0" borderId="7" xfId="0" applyFont="1" applyBorder="1"/>
    <xf numFmtId="166" fontId="16" fillId="0" borderId="7" xfId="1" applyNumberFormat="1" applyFont="1" applyFill="1" applyBorder="1"/>
    <xf numFmtId="0" fontId="3" fillId="0" borderId="0" xfId="3" applyFont="1" applyBorder="1"/>
    <xf numFmtId="0" fontId="0" fillId="0" borderId="7" xfId="0" applyBorder="1"/>
    <xf numFmtId="0" fontId="0" fillId="0" borderId="33" xfId="0" applyBorder="1"/>
    <xf numFmtId="167" fontId="4" fillId="12" borderId="16" xfId="0" applyNumberFormat="1" applyFont="1" applyFill="1" applyBorder="1" applyAlignment="1">
      <alignment horizontal="center"/>
    </xf>
    <xf numFmtId="9" fontId="0" fillId="0" borderId="0" xfId="2" applyFont="1"/>
    <xf numFmtId="166" fontId="0" fillId="0" borderId="0" xfId="1" applyNumberFormat="1" applyFont="1"/>
    <xf numFmtId="165" fontId="0" fillId="0" borderId="0" xfId="2" applyNumberFormat="1" applyFont="1"/>
    <xf numFmtId="2" fontId="0" fillId="0" borderId="0" xfId="0" applyNumberFormat="1"/>
    <xf numFmtId="0" fontId="11" fillId="0" borderId="7" xfId="0" applyFont="1" applyBorder="1"/>
    <xf numFmtId="9" fontId="0" fillId="2" borderId="7" xfId="2" applyFont="1" applyFill="1" applyBorder="1"/>
    <xf numFmtId="9" fontId="0" fillId="7" borderId="7" xfId="2" applyFont="1" applyFill="1" applyBorder="1"/>
    <xf numFmtId="0" fontId="4" fillId="11" borderId="7" xfId="0" applyFont="1" applyFill="1" applyBorder="1" applyAlignment="1">
      <alignment horizontal="center" vertical="center" wrapText="1"/>
    </xf>
    <xf numFmtId="166" fontId="0" fillId="2" borderId="7" xfId="2" applyNumberFormat="1" applyFont="1" applyFill="1" applyBorder="1"/>
    <xf numFmtId="166" fontId="0" fillId="7" borderId="7" xfId="2" applyNumberFormat="1" applyFont="1" applyFill="1" applyBorder="1"/>
    <xf numFmtId="165" fontId="6" fillId="0" borderId="7" xfId="0" applyNumberFormat="1" applyFont="1" applyBorder="1"/>
    <xf numFmtId="165" fontId="6" fillId="0" borderId="0" xfId="0" applyNumberFormat="1" applyFont="1"/>
    <xf numFmtId="165" fontId="6" fillId="0" borderId="33" xfId="0" applyNumberFormat="1" applyFont="1" applyBorder="1"/>
    <xf numFmtId="166" fontId="0" fillId="0" borderId="33" xfId="1" applyNumberFormat="1" applyFont="1" applyFill="1" applyBorder="1"/>
    <xf numFmtId="0" fontId="16" fillId="0" borderId="34" xfId="0" applyFont="1" applyBorder="1"/>
    <xf numFmtId="166" fontId="16" fillId="0" borderId="35" xfId="1" applyNumberFormat="1" applyFont="1" applyFill="1" applyBorder="1"/>
    <xf numFmtId="166" fontId="16" fillId="0" borderId="36" xfId="1" applyNumberFormat="1" applyFont="1" applyFill="1" applyBorder="1"/>
    <xf numFmtId="166" fontId="16" fillId="0" borderId="34" xfId="1" applyNumberFormat="1" applyFont="1" applyFill="1" applyBorder="1"/>
    <xf numFmtId="0" fontId="0" fillId="0" borderId="34" xfId="0" applyBorder="1"/>
    <xf numFmtId="0" fontId="6" fillId="0" borderId="34" xfId="0" applyFont="1" applyBorder="1"/>
    <xf numFmtId="166" fontId="0" fillId="0" borderId="0" xfId="1" applyNumberFormat="1" applyFont="1" applyBorder="1"/>
    <xf numFmtId="0" fontId="6" fillId="0" borderId="0" xfId="0" applyFont="1" applyAlignment="1">
      <alignment horizontal="center"/>
    </xf>
    <xf numFmtId="0" fontId="6" fillId="0" borderId="0" xfId="0" applyFont="1"/>
    <xf numFmtId="0" fontId="0" fillId="15" borderId="7" xfId="2" applyNumberFormat="1" applyFont="1" applyFill="1" applyBorder="1"/>
    <xf numFmtId="0" fontId="0" fillId="0" borderId="0" xfId="2" applyNumberFormat="1" applyFont="1" applyBorder="1" applyAlignment="1"/>
    <xf numFmtId="166" fontId="0" fillId="0" borderId="7" xfId="1" applyNumberFormat="1" applyFont="1" applyBorder="1"/>
    <xf numFmtId="169" fontId="16" fillId="0" borderId="7" xfId="1" applyNumberFormat="1" applyFont="1" applyBorder="1"/>
    <xf numFmtId="165" fontId="0" fillId="0" borderId="33" xfId="0" applyNumberFormat="1" applyBorder="1"/>
    <xf numFmtId="166" fontId="0" fillId="0" borderId="33" xfId="1" applyNumberFormat="1" applyFont="1" applyBorder="1"/>
    <xf numFmtId="165" fontId="6" fillId="0" borderId="34" xfId="0" applyNumberFormat="1" applyFont="1" applyBorder="1"/>
    <xf numFmtId="169" fontId="16" fillId="0" borderId="35" xfId="1" applyNumberFormat="1" applyFont="1" applyBorder="1"/>
    <xf numFmtId="169" fontId="16" fillId="0" borderId="36" xfId="1" applyNumberFormat="1" applyFont="1" applyBorder="1"/>
    <xf numFmtId="169" fontId="16" fillId="0" borderId="34" xfId="1" applyNumberFormat="1" applyFont="1" applyBorder="1"/>
    <xf numFmtId="0" fontId="7" fillId="6" borderId="7" xfId="0" applyFont="1" applyFill="1" applyBorder="1" applyAlignment="1">
      <alignment horizontal="center"/>
    </xf>
    <xf numFmtId="0" fontId="0" fillId="6" borderId="7" xfId="0" applyFill="1" applyBorder="1" applyAlignment="1">
      <alignment horizontal="center"/>
    </xf>
    <xf numFmtId="0" fontId="0" fillId="2" borderId="7" xfId="0" applyFill="1" applyBorder="1"/>
    <xf numFmtId="0" fontId="0" fillId="6" borderId="7" xfId="0" applyFill="1" applyBorder="1"/>
    <xf numFmtId="0" fontId="0" fillId="7" borderId="7" xfId="0" applyFill="1" applyBorder="1"/>
    <xf numFmtId="43" fontId="6" fillId="0" borderId="0" xfId="1" applyFont="1" applyBorder="1"/>
    <xf numFmtId="0" fontId="17" fillId="0" borderId="0" xfId="2" applyNumberFormat="1" applyFont="1" applyBorder="1" applyAlignment="1">
      <alignment horizontal="left"/>
    </xf>
    <xf numFmtId="166" fontId="16" fillId="0" borderId="0" xfId="1" applyNumberFormat="1" applyFont="1" applyFill="1" applyBorder="1"/>
    <xf numFmtId="43" fontId="0" fillId="0" borderId="0" xfId="0" applyNumberFormat="1"/>
    <xf numFmtId="0" fontId="0" fillId="0" borderId="7" xfId="0" applyBorder="1" applyAlignment="1">
      <alignment wrapText="1"/>
    </xf>
    <xf numFmtId="0" fontId="3" fillId="0" borderId="7" xfId="3" applyFont="1" applyBorder="1"/>
    <xf numFmtId="43" fontId="6" fillId="0" borderId="7" xfId="1" applyFont="1" applyBorder="1"/>
    <xf numFmtId="10" fontId="0" fillId="7" borderId="7" xfId="2" applyNumberFormat="1" applyFont="1" applyFill="1" applyBorder="1" applyAlignment="1">
      <alignment horizontal="center"/>
    </xf>
    <xf numFmtId="166" fontId="6" fillId="0" borderId="35" xfId="1" applyNumberFormat="1" applyFont="1" applyFill="1" applyBorder="1"/>
    <xf numFmtId="166" fontId="6" fillId="0" borderId="36" xfId="1" applyNumberFormat="1" applyFont="1" applyFill="1" applyBorder="1"/>
    <xf numFmtId="166" fontId="6" fillId="0" borderId="7" xfId="1" applyNumberFormat="1" applyFont="1" applyBorder="1"/>
    <xf numFmtId="166" fontId="6" fillId="0" borderId="34" xfId="1" applyNumberFormat="1" applyFont="1" applyBorder="1"/>
    <xf numFmtId="166" fontId="6" fillId="0" borderId="35" xfId="1" applyNumberFormat="1" applyFont="1" applyBorder="1"/>
    <xf numFmtId="166" fontId="6" fillId="0" borderId="36" xfId="1" applyNumberFormat="1" applyFont="1" applyBorder="1"/>
    <xf numFmtId="0" fontId="3" fillId="0" borderId="18" xfId="3" applyFont="1" applyBorder="1"/>
    <xf numFmtId="165" fontId="11" fillId="3" borderId="18" xfId="2" applyNumberFormat="1" applyFont="1" applyFill="1" applyBorder="1" applyAlignment="1">
      <alignment horizontal="center"/>
    </xf>
    <xf numFmtId="10" fontId="0" fillId="2" borderId="7" xfId="2" applyNumberFormat="1" applyFont="1" applyFill="1" applyBorder="1" applyAlignment="1">
      <alignment horizontal="center"/>
    </xf>
    <xf numFmtId="165" fontId="11" fillId="3" borderId="7" xfId="2" applyNumberFormat="1" applyFont="1" applyFill="1" applyBorder="1" applyAlignment="1">
      <alignment horizontal="center"/>
    </xf>
    <xf numFmtId="43" fontId="0" fillId="7" borderId="7" xfId="1" applyFont="1" applyFill="1" applyBorder="1"/>
    <xf numFmtId="43" fontId="0" fillId="7" borderId="7" xfId="1" applyFont="1" applyFill="1" applyBorder="1" applyAlignment="1">
      <alignment horizontal="center"/>
    </xf>
    <xf numFmtId="0" fontId="6" fillId="0" borderId="7" xfId="0" applyFont="1" applyBorder="1"/>
    <xf numFmtId="166" fontId="0" fillId="7" borderId="0" xfId="1" applyNumberFormat="1" applyFont="1" applyFill="1" applyBorder="1"/>
    <xf numFmtId="165" fontId="11" fillId="7" borderId="7" xfId="2" applyNumberFormat="1" applyFont="1" applyFill="1" applyBorder="1" applyAlignment="1">
      <alignment horizontal="center" vertical="center" wrapText="1"/>
    </xf>
    <xf numFmtId="166" fontId="0" fillId="7" borderId="33" xfId="1" applyNumberFormat="1" applyFont="1" applyFill="1" applyBorder="1"/>
    <xf numFmtId="0" fontId="14" fillId="0" borderId="15" xfId="0" applyFont="1" applyBorder="1" applyAlignment="1">
      <alignment horizontal="center"/>
    </xf>
    <xf numFmtId="165" fontId="11" fillId="0" borderId="7" xfId="2" applyNumberFormat="1" applyFont="1" applyFill="1" applyBorder="1" applyAlignment="1">
      <alignment horizontal="center"/>
    </xf>
    <xf numFmtId="166" fontId="0" fillId="7" borderId="7" xfId="1" applyNumberFormat="1" applyFont="1" applyFill="1" applyBorder="1" applyAlignment="1">
      <alignment horizontal="center"/>
    </xf>
    <xf numFmtId="165" fontId="11" fillId="0" borderId="8" xfId="2" applyNumberFormat="1" applyFont="1" applyFill="1" applyBorder="1" applyAlignment="1">
      <alignment horizontal="center" vertical="center" wrapText="1"/>
    </xf>
    <xf numFmtId="165" fontId="11" fillId="0" borderId="7" xfId="2" applyNumberFormat="1" applyFont="1" applyFill="1" applyBorder="1" applyAlignment="1">
      <alignment horizontal="center" vertical="center" wrapText="1"/>
    </xf>
    <xf numFmtId="0" fontId="0" fillId="7" borderId="33" xfId="0" applyFill="1" applyBorder="1"/>
    <xf numFmtId="167" fontId="0" fillId="7" borderId="2" xfId="2" applyNumberFormat="1" applyFont="1" applyFill="1" applyBorder="1" applyAlignment="1">
      <alignment horizontal="center"/>
    </xf>
    <xf numFmtId="0" fontId="0" fillId="7" borderId="2" xfId="2" applyNumberFormat="1" applyFont="1" applyFill="1" applyBorder="1" applyAlignment="1">
      <alignment horizontal="center"/>
    </xf>
    <xf numFmtId="166" fontId="0" fillId="7" borderId="17" xfId="1" applyNumberFormat="1" applyFont="1" applyFill="1" applyBorder="1"/>
    <xf numFmtId="0" fontId="0" fillId="7" borderId="17" xfId="0" applyFill="1" applyBorder="1"/>
    <xf numFmtId="166" fontId="0" fillId="7" borderId="0" xfId="1" applyNumberFormat="1" applyFont="1" applyFill="1" applyBorder="1" applyAlignment="1">
      <alignment horizontal="center"/>
    </xf>
    <xf numFmtId="0" fontId="0" fillId="7" borderId="18" xfId="0" applyFill="1" applyBorder="1"/>
    <xf numFmtId="166" fontId="0" fillId="7" borderId="5" xfId="1" applyNumberFormat="1" applyFont="1" applyFill="1" applyBorder="1"/>
    <xf numFmtId="167" fontId="0" fillId="7" borderId="4" xfId="2" applyNumberFormat="1" applyFont="1" applyFill="1" applyBorder="1" applyAlignment="1">
      <alignment horizontal="center"/>
    </xf>
    <xf numFmtId="0" fontId="0" fillId="7" borderId="4" xfId="2" applyNumberFormat="1" applyFont="1" applyFill="1" applyBorder="1" applyAlignment="1">
      <alignment horizontal="center"/>
    </xf>
    <xf numFmtId="166" fontId="0" fillId="7" borderId="18" xfId="1" applyNumberFormat="1" applyFont="1" applyFill="1" applyBorder="1"/>
    <xf numFmtId="165" fontId="3" fillId="0" borderId="1" xfId="3" applyNumberFormat="1" applyFont="1"/>
    <xf numFmtId="169" fontId="0" fillId="0" borderId="7" xfId="1" applyNumberFormat="1" applyFont="1" applyBorder="1"/>
    <xf numFmtId="169" fontId="0" fillId="0" borderId="33" xfId="1" applyNumberFormat="1" applyFont="1" applyBorder="1"/>
    <xf numFmtId="0" fontId="4" fillId="8" borderId="15" xfId="0" applyFont="1" applyFill="1" applyBorder="1" applyAlignment="1">
      <alignment horizontal="center"/>
    </xf>
    <xf numFmtId="0" fontId="4" fillId="8" borderId="0" xfId="0" applyFont="1" applyFill="1" applyAlignment="1">
      <alignment horizontal="center"/>
    </xf>
    <xf numFmtId="0" fontId="4" fillId="8" borderId="16" xfId="0" applyFont="1" applyFill="1" applyBorder="1" applyAlignment="1">
      <alignment horizontal="center"/>
    </xf>
    <xf numFmtId="0" fontId="0" fillId="0" borderId="7" xfId="0" applyBorder="1" applyAlignment="1">
      <alignment horizontal="left" indent="1"/>
    </xf>
    <xf numFmtId="169" fontId="0" fillId="2" borderId="7" xfId="1" applyNumberFormat="1" applyFont="1" applyFill="1" applyBorder="1"/>
    <xf numFmtId="0" fontId="4" fillId="8" borderId="7" xfId="0" applyFont="1" applyFill="1" applyBorder="1" applyAlignment="1">
      <alignment horizontal="left"/>
    </xf>
    <xf numFmtId="0" fontId="4" fillId="8" borderId="7" xfId="0" applyFont="1" applyFill="1" applyBorder="1" applyAlignment="1">
      <alignment horizontal="center"/>
    </xf>
    <xf numFmtId="0" fontId="14" fillId="0" borderId="7" xfId="0" applyFont="1" applyBorder="1" applyAlignment="1">
      <alignment horizontal="center"/>
    </xf>
    <xf numFmtId="0" fontId="0" fillId="0" borderId="7" xfId="0" applyBorder="1" applyAlignment="1">
      <alignment horizontal="left"/>
    </xf>
    <xf numFmtId="170" fontId="0" fillId="0" borderId="7" xfId="0" applyNumberFormat="1" applyBorder="1" applyAlignment="1">
      <alignment horizontal="left" indent="1"/>
    </xf>
    <xf numFmtId="170" fontId="0" fillId="0" borderId="33" xfId="0" applyNumberFormat="1" applyBorder="1" applyAlignment="1">
      <alignment horizontal="left" indent="1"/>
    </xf>
    <xf numFmtId="0" fontId="14" fillId="0" borderId="33" xfId="0" applyFont="1" applyBorder="1" applyAlignment="1">
      <alignment horizontal="center"/>
    </xf>
    <xf numFmtId="0" fontId="14" fillId="0" borderId="35" xfId="0" applyFont="1" applyBorder="1" applyAlignment="1">
      <alignment horizontal="center"/>
    </xf>
    <xf numFmtId="165" fontId="0" fillId="0" borderId="7" xfId="0" applyNumberFormat="1" applyBorder="1" applyAlignment="1">
      <alignment wrapText="1"/>
    </xf>
    <xf numFmtId="165" fontId="0" fillId="0" borderId="33" xfId="0" applyNumberFormat="1" applyBorder="1" applyAlignment="1">
      <alignment wrapText="1"/>
    </xf>
    <xf numFmtId="165" fontId="11" fillId="0" borderId="8" xfId="2" applyNumberFormat="1" applyFont="1" applyFill="1" applyBorder="1" applyAlignment="1">
      <alignment horizontal="center" wrapText="1"/>
    </xf>
    <xf numFmtId="167" fontId="0" fillId="7" borderId="7" xfId="2" applyNumberFormat="1" applyFont="1" applyFill="1" applyBorder="1"/>
    <xf numFmtId="0" fontId="19" fillId="0" borderId="7" xfId="0" applyFont="1" applyBorder="1"/>
    <xf numFmtId="169" fontId="6" fillId="0" borderId="35" xfId="1" applyNumberFormat="1" applyFont="1" applyBorder="1"/>
    <xf numFmtId="169" fontId="6" fillId="0" borderId="36" xfId="1" applyNumberFormat="1" applyFont="1" applyBorder="1"/>
    <xf numFmtId="169" fontId="6" fillId="0" borderId="34" xfId="1" applyNumberFormat="1" applyFont="1" applyBorder="1"/>
    <xf numFmtId="0" fontId="9" fillId="8" borderId="0" xfId="0" applyFont="1" applyFill="1"/>
    <xf numFmtId="0" fontId="4" fillId="8" borderId="0" xfId="0" applyFont="1" applyFill="1" applyAlignment="1">
      <alignment horizontal="left"/>
    </xf>
    <xf numFmtId="0" fontId="0" fillId="0" borderId="0" xfId="0" applyAlignment="1">
      <alignment horizontal="left" indent="1"/>
    </xf>
    <xf numFmtId="37" fontId="0" fillId="0" borderId="0" xfId="1" applyNumberFormat="1" applyFont="1" applyBorder="1"/>
    <xf numFmtId="165" fontId="0" fillId="0" borderId="37" xfId="0" applyNumberFormat="1" applyBorder="1"/>
    <xf numFmtId="37" fontId="0" fillId="0" borderId="38" xfId="1" applyNumberFormat="1" applyFont="1" applyBorder="1"/>
    <xf numFmtId="37" fontId="0" fillId="0" borderId="37" xfId="1" applyNumberFormat="1" applyFont="1" applyBorder="1"/>
    <xf numFmtId="37" fontId="0" fillId="0" borderId="39" xfId="1" applyNumberFormat="1" applyFont="1" applyBorder="1"/>
    <xf numFmtId="0" fontId="0" fillId="0" borderId="7" xfId="0" applyBorder="1" applyAlignment="1">
      <alignment horizontal="left" wrapText="1" indent="1"/>
    </xf>
    <xf numFmtId="0" fontId="20" fillId="0" borderId="7" xfId="0" applyFont="1" applyBorder="1"/>
    <xf numFmtId="165" fontId="0" fillId="0" borderId="7" xfId="2" applyNumberFormat="1" applyFont="1" applyBorder="1"/>
    <xf numFmtId="0" fontId="0" fillId="0" borderId="7" xfId="2" applyNumberFormat="1" applyFont="1" applyBorder="1"/>
    <xf numFmtId="0" fontId="0" fillId="0" borderId="7" xfId="2" applyNumberFormat="1" applyFont="1" applyFill="1" applyBorder="1"/>
    <xf numFmtId="37" fontId="20" fillId="0" borderId="7" xfId="1" applyNumberFormat="1" applyFont="1" applyBorder="1"/>
    <xf numFmtId="37" fontId="0" fillId="0" borderId="7" xfId="1" applyNumberFormat="1" applyFont="1" applyBorder="1"/>
    <xf numFmtId="165" fontId="0" fillId="0" borderId="7" xfId="0" applyNumberFormat="1" applyBorder="1" applyAlignment="1">
      <alignment horizontal="left" indent="1"/>
    </xf>
    <xf numFmtId="37" fontId="0" fillId="0" borderId="33" xfId="1" applyNumberFormat="1" applyFont="1" applyBorder="1"/>
    <xf numFmtId="165" fontId="0" fillId="0" borderId="33" xfId="0" applyNumberFormat="1" applyBorder="1" applyAlignment="1">
      <alignment horizontal="left" indent="1"/>
    </xf>
    <xf numFmtId="0" fontId="16" fillId="0" borderId="40" xfId="0" applyFont="1" applyBorder="1"/>
    <xf numFmtId="169" fontId="16" fillId="0" borderId="41" xfId="1" applyNumberFormat="1" applyFont="1" applyBorder="1"/>
    <xf numFmtId="169" fontId="16" fillId="0" borderId="42" xfId="1" applyNumberFormat="1" applyFont="1" applyBorder="1"/>
    <xf numFmtId="169" fontId="16" fillId="0" borderId="40" xfId="1" applyNumberFormat="1" applyFont="1" applyBorder="1"/>
    <xf numFmtId="169" fontId="6" fillId="0" borderId="7" xfId="0" applyNumberFormat="1" applyFont="1" applyBorder="1"/>
    <xf numFmtId="165" fontId="0" fillId="0" borderId="34" xfId="0" applyNumberFormat="1" applyBorder="1"/>
    <xf numFmtId="37" fontId="0" fillId="0" borderId="35" xfId="1" applyNumberFormat="1" applyFont="1" applyBorder="1"/>
    <xf numFmtId="165" fontId="6" fillId="0" borderId="18" xfId="0" applyNumberFormat="1" applyFont="1" applyBorder="1"/>
    <xf numFmtId="37" fontId="6" fillId="0" borderId="18" xfId="1" applyNumberFormat="1" applyFont="1" applyBorder="1"/>
    <xf numFmtId="0" fontId="14" fillId="0" borderId="18" xfId="0" applyFont="1" applyBorder="1" applyAlignment="1">
      <alignment horizontal="center"/>
    </xf>
    <xf numFmtId="165" fontId="6" fillId="0" borderId="43" xfId="0" applyNumberFormat="1" applyFont="1" applyBorder="1"/>
    <xf numFmtId="37" fontId="6" fillId="0" borderId="44" xfId="1" applyNumberFormat="1" applyFont="1" applyBorder="1"/>
    <xf numFmtId="0" fontId="14" fillId="0" borderId="44" xfId="0" applyFont="1" applyBorder="1" applyAlignment="1">
      <alignment horizontal="center"/>
    </xf>
    <xf numFmtId="37" fontId="6" fillId="0" borderId="45" xfId="1" applyNumberFormat="1" applyFont="1" applyBorder="1"/>
    <xf numFmtId="165" fontId="6" fillId="0" borderId="46" xfId="0" applyNumberFormat="1" applyFont="1" applyBorder="1"/>
    <xf numFmtId="9" fontId="6" fillId="0" borderId="47" xfId="2" applyFont="1" applyBorder="1"/>
    <xf numFmtId="0" fontId="14" fillId="0" borderId="47" xfId="0" applyFont="1" applyBorder="1" applyAlignment="1">
      <alignment horizontal="center"/>
    </xf>
    <xf numFmtId="9" fontId="6" fillId="0" borderId="48" xfId="2" applyFont="1" applyBorder="1"/>
    <xf numFmtId="165" fontId="6" fillId="0" borderId="33" xfId="0" applyNumberFormat="1" applyFont="1" applyBorder="1" applyAlignment="1">
      <alignment horizontal="left" indent="1"/>
    </xf>
    <xf numFmtId="165" fontId="0" fillId="0" borderId="43" xfId="0" applyNumberFormat="1" applyBorder="1"/>
    <xf numFmtId="0" fontId="0" fillId="0" borderId="46" xfId="0" applyBorder="1"/>
    <xf numFmtId="165" fontId="0" fillId="0" borderId="7" xfId="0" applyNumberFormat="1" applyBorder="1" applyAlignment="1">
      <alignment horizontal="left" wrapText="1" indent="1"/>
    </xf>
    <xf numFmtId="170" fontId="0" fillId="0" borderId="0" xfId="0" applyNumberFormat="1" applyAlignment="1">
      <alignment horizontal="left" indent="1"/>
    </xf>
    <xf numFmtId="0" fontId="0" fillId="0" borderId="33" xfId="0" applyBorder="1" applyAlignment="1">
      <alignment horizontal="left" indent="1"/>
    </xf>
    <xf numFmtId="169" fontId="16" fillId="0" borderId="33" xfId="1" applyNumberFormat="1" applyFont="1" applyBorder="1"/>
    <xf numFmtId="165" fontId="0" fillId="0" borderId="17" xfId="0" applyNumberFormat="1" applyBorder="1"/>
    <xf numFmtId="37" fontId="0" fillId="0" borderId="17" xfId="1" applyNumberFormat="1" applyFont="1" applyBorder="1"/>
    <xf numFmtId="0" fontId="14" fillId="0" borderId="17" xfId="0" applyFont="1" applyBorder="1" applyAlignment="1">
      <alignment horizontal="center"/>
    </xf>
    <xf numFmtId="0" fontId="16" fillId="0" borderId="34" xfId="0" applyFont="1" applyBorder="1" applyAlignment="1">
      <alignment wrapText="1"/>
    </xf>
    <xf numFmtId="0" fontId="14" fillId="0" borderId="16" xfId="0" applyFont="1" applyBorder="1" applyAlignment="1">
      <alignment horizontal="center"/>
    </xf>
    <xf numFmtId="0" fontId="4" fillId="8" borderId="49" xfId="0" applyFont="1" applyFill="1" applyBorder="1" applyAlignment="1">
      <alignment horizontal="left"/>
    </xf>
    <xf numFmtId="0" fontId="4" fillId="8" borderId="30" xfId="0" applyFont="1" applyFill="1" applyBorder="1" applyAlignment="1">
      <alignment horizontal="center"/>
    </xf>
    <xf numFmtId="0" fontId="4" fillId="8" borderId="31" xfId="0" applyFont="1" applyFill="1" applyBorder="1" applyAlignment="1">
      <alignment horizontal="center"/>
    </xf>
    <xf numFmtId="0" fontId="4" fillId="8" borderId="32" xfId="0" applyFont="1" applyFill="1" applyBorder="1" applyAlignment="1">
      <alignment horizontal="center"/>
    </xf>
    <xf numFmtId="0" fontId="0" fillId="0" borderId="0" xfId="0" applyAlignment="1">
      <alignment horizontal="right"/>
    </xf>
    <xf numFmtId="9" fontId="0" fillId="2" borderId="18" xfId="2" applyFont="1" applyFill="1" applyBorder="1"/>
    <xf numFmtId="0" fontId="4" fillId="8" borderId="32" xfId="0" applyFont="1" applyFill="1" applyBorder="1" applyAlignment="1">
      <alignment horizontal="center" vertical="center"/>
    </xf>
    <xf numFmtId="37" fontId="0" fillId="0" borderId="36" xfId="1" applyNumberFormat="1" applyFont="1" applyFill="1" applyBorder="1"/>
    <xf numFmtId="0" fontId="0" fillId="0" borderId="7" xfId="0" applyBorder="1" applyAlignment="1">
      <alignment horizontal="right"/>
    </xf>
    <xf numFmtId="171" fontId="0" fillId="0" borderId="7" xfId="0" applyNumberFormat="1" applyBorder="1"/>
    <xf numFmtId="37" fontId="6" fillId="0" borderId="8" xfId="0" applyNumberFormat="1" applyFont="1" applyBorder="1"/>
    <xf numFmtId="0" fontId="6" fillId="16" borderId="7" xfId="0" applyFont="1" applyFill="1" applyBorder="1" applyAlignment="1">
      <alignment horizontal="center" vertical="center"/>
    </xf>
    <xf numFmtId="2" fontId="6" fillId="16" borderId="7" xfId="0" applyNumberFormat="1" applyFont="1" applyFill="1" applyBorder="1" applyAlignment="1">
      <alignment horizontal="center" vertical="center"/>
    </xf>
    <xf numFmtId="0" fontId="0" fillId="3" borderId="7" xfId="0" applyFill="1" applyBorder="1"/>
    <xf numFmtId="0" fontId="11" fillId="0" borderId="7" xfId="0" applyFont="1" applyBorder="1" applyAlignment="1">
      <alignment horizontal="left"/>
    </xf>
    <xf numFmtId="0" fontId="12" fillId="0" borderId="7" xfId="0" applyFont="1" applyBorder="1"/>
    <xf numFmtId="0" fontId="12" fillId="0" borderId="7" xfId="0" applyFont="1" applyBorder="1" applyAlignment="1">
      <alignment wrapText="1"/>
    </xf>
    <xf numFmtId="0" fontId="11" fillId="16" borderId="7" xfId="0" applyFont="1" applyFill="1" applyBorder="1"/>
    <xf numFmtId="0" fontId="9" fillId="8" borderId="0" xfId="0" applyFont="1" applyFill="1" applyAlignment="1">
      <alignment horizontal="left" wrapText="1"/>
    </xf>
    <xf numFmtId="0" fontId="12" fillId="0" borderId="0" xfId="0" applyFont="1"/>
    <xf numFmtId="0" fontId="24" fillId="0" borderId="0" xfId="0" applyFont="1"/>
    <xf numFmtId="167" fontId="25" fillId="0" borderId="7" xfId="0" applyNumberFormat="1" applyFont="1" applyBorder="1" applyAlignment="1">
      <alignment horizontal="center"/>
    </xf>
    <xf numFmtId="3" fontId="12" fillId="6" borderId="7" xfId="0" applyNumberFormat="1" applyFont="1" applyFill="1" applyBorder="1" applyAlignment="1">
      <alignment horizontal="center"/>
    </xf>
    <xf numFmtId="10" fontId="24" fillId="3" borderId="51" xfId="0" applyNumberFormat="1" applyFont="1" applyFill="1" applyBorder="1"/>
    <xf numFmtId="172" fontId="24" fillId="0" borderId="0" xfId="0" applyNumberFormat="1" applyFont="1"/>
    <xf numFmtId="0" fontId="12" fillId="3" borderId="7" xfId="0" applyFont="1" applyFill="1" applyBorder="1"/>
    <xf numFmtId="0" fontId="11" fillId="3" borderId="7" xfId="0" applyFont="1" applyFill="1" applyBorder="1" applyAlignment="1">
      <alignment wrapText="1"/>
    </xf>
    <xf numFmtId="0" fontId="12" fillId="3" borderId="0" xfId="0" applyFont="1" applyFill="1"/>
    <xf numFmtId="0" fontId="11" fillId="3" borderId="7" xfId="0" applyFont="1" applyFill="1" applyBorder="1"/>
    <xf numFmtId="0" fontId="26" fillId="0" borderId="0" xfId="8" applyFont="1"/>
    <xf numFmtId="0" fontId="13" fillId="0" borderId="0" xfId="8"/>
    <xf numFmtId="0" fontId="26" fillId="0" borderId="52" xfId="8" applyFont="1" applyBorder="1"/>
    <xf numFmtId="0" fontId="28" fillId="0" borderId="0" xfId="8" applyFont="1" applyAlignment="1">
      <alignment vertical="center"/>
    </xf>
    <xf numFmtId="0" fontId="29" fillId="17" borderId="0" xfId="8" applyFont="1" applyFill="1" applyAlignment="1">
      <alignment horizontal="center" vertical="center"/>
    </xf>
    <xf numFmtId="0" fontId="26" fillId="18" borderId="0" xfId="8" applyFont="1" applyFill="1"/>
    <xf numFmtId="0" fontId="30" fillId="0" borderId="0" xfId="9" applyFont="1"/>
    <xf numFmtId="178" fontId="30" fillId="0" borderId="0" xfId="9" applyNumberFormat="1" applyFont="1"/>
    <xf numFmtId="0" fontId="30" fillId="0" borderId="0" xfId="9" applyFont="1" applyAlignment="1">
      <alignment horizontal="right"/>
    </xf>
    <xf numFmtId="178" fontId="26" fillId="0" borderId="0" xfId="9" applyNumberFormat="1" applyFont="1" applyAlignment="1">
      <alignment horizontal="right" vertical="center"/>
    </xf>
    <xf numFmtId="0" fontId="26" fillId="0" borderId="0" xfId="9" applyFont="1" applyAlignment="1">
      <alignment vertical="center"/>
    </xf>
    <xf numFmtId="0" fontId="1" fillId="0" borderId="0" xfId="9"/>
    <xf numFmtId="0" fontId="27" fillId="0" borderId="0" xfId="9" applyFont="1" applyAlignment="1">
      <alignment vertical="center"/>
    </xf>
    <xf numFmtId="182" fontId="26" fillId="0" borderId="0" xfId="11" applyNumberFormat="1" applyFont="1" applyAlignment="1">
      <alignment horizontal="right" vertical="center"/>
    </xf>
    <xf numFmtId="178" fontId="26" fillId="6" borderId="0" xfId="9" applyNumberFormat="1" applyFont="1" applyFill="1" applyAlignment="1">
      <alignment horizontal="right" vertical="center"/>
    </xf>
    <xf numFmtId="0" fontId="32" fillId="0" borderId="0" xfId="4" applyFont="1"/>
    <xf numFmtId="0" fontId="35" fillId="0" borderId="0" xfId="4" applyFont="1"/>
    <xf numFmtId="0" fontId="9" fillId="20" borderId="11" xfId="0" applyFont="1" applyFill="1" applyBorder="1"/>
    <xf numFmtId="0" fontId="38" fillId="20" borderId="0" xfId="8" applyFont="1" applyFill="1"/>
    <xf numFmtId="0" fontId="38" fillId="20" borderId="52" xfId="8" applyFont="1" applyFill="1" applyBorder="1"/>
    <xf numFmtId="0" fontId="40" fillId="18" borderId="0" xfId="8" applyFont="1" applyFill="1" applyAlignment="1">
      <alignment horizontal="left" vertical="center"/>
    </xf>
    <xf numFmtId="0" fontId="41" fillId="0" borderId="0" xfId="9" applyFont="1" applyAlignment="1">
      <alignment horizontal="left" vertical="center"/>
    </xf>
    <xf numFmtId="178" fontId="41" fillId="19" borderId="0" xfId="9" applyNumberFormat="1" applyFont="1" applyFill="1" applyAlignment="1">
      <alignment horizontal="right" vertical="center"/>
    </xf>
    <xf numFmtId="181" fontId="41" fillId="0" borderId="0" xfId="9" applyNumberFormat="1" applyFont="1" applyAlignment="1">
      <alignment horizontal="right" vertical="center"/>
    </xf>
    <xf numFmtId="165" fontId="11" fillId="0" borderId="8" xfId="2" applyNumberFormat="1" applyFont="1" applyFill="1" applyBorder="1" applyAlignment="1">
      <alignment horizontal="center" vertical="top" wrapText="1"/>
    </xf>
    <xf numFmtId="166" fontId="0" fillId="7" borderId="8" xfId="1" applyNumberFormat="1" applyFont="1" applyFill="1" applyBorder="1"/>
    <xf numFmtId="165" fontId="11" fillId="0" borderId="53" xfId="2" applyNumberFormat="1" applyFont="1" applyFill="1" applyBorder="1" applyAlignment="1">
      <alignment horizontal="center" vertical="top"/>
    </xf>
    <xf numFmtId="0" fontId="11" fillId="0" borderId="53" xfId="0" applyFont="1" applyBorder="1" applyAlignment="1">
      <alignment vertical="top" wrapText="1"/>
    </xf>
    <xf numFmtId="0" fontId="0" fillId="0" borderId="53" xfId="0" applyBorder="1"/>
    <xf numFmtId="0" fontId="13" fillId="0" borderId="53" xfId="2" applyNumberFormat="1" applyFont="1" applyBorder="1" applyAlignment="1"/>
    <xf numFmtId="37" fontId="0" fillId="4" borderId="38" xfId="1" applyNumberFormat="1" applyFont="1" applyFill="1" applyBorder="1"/>
    <xf numFmtId="37" fontId="0" fillId="4" borderId="7" xfId="1" applyNumberFormat="1" applyFont="1" applyFill="1" applyBorder="1"/>
    <xf numFmtId="167" fontId="0" fillId="3" borderId="53" xfId="2" applyNumberFormat="1" applyFont="1" applyFill="1" applyBorder="1"/>
    <xf numFmtId="166" fontId="0" fillId="3" borderId="8" xfId="1" applyNumberFormat="1" applyFont="1" applyFill="1" applyBorder="1"/>
    <xf numFmtId="166" fontId="0" fillId="3" borderId="8" xfId="1" applyNumberFormat="1" applyFont="1" applyFill="1" applyBorder="1" applyAlignment="1">
      <alignment horizontal="center"/>
    </xf>
    <xf numFmtId="0" fontId="1" fillId="0" borderId="53" xfId="9" applyBorder="1" applyAlignment="1">
      <alignment horizontal="left" vertical="center"/>
    </xf>
    <xf numFmtId="0" fontId="1" fillId="0" borderId="53" xfId="9" applyBorder="1"/>
    <xf numFmtId="177" fontId="42" fillId="19" borderId="53" xfId="9" applyNumberFormat="1" applyFont="1" applyFill="1" applyBorder="1" applyAlignment="1">
      <alignment horizontal="right" vertical="center"/>
    </xf>
    <xf numFmtId="178" fontId="42" fillId="19" borderId="53" xfId="9" applyNumberFormat="1" applyFont="1" applyFill="1" applyBorder="1" applyAlignment="1">
      <alignment horizontal="right" vertical="center"/>
    </xf>
    <xf numFmtId="0" fontId="1" fillId="0" borderId="53" xfId="8" applyFont="1" applyBorder="1"/>
    <xf numFmtId="178" fontId="6" fillId="3" borderId="53" xfId="9" applyNumberFormat="1" applyFont="1" applyFill="1" applyBorder="1" applyAlignment="1">
      <alignment horizontal="right" vertical="center"/>
    </xf>
    <xf numFmtId="0" fontId="27" fillId="0" borderId="53" xfId="9" applyFont="1" applyBorder="1" applyAlignment="1">
      <alignment vertical="center"/>
    </xf>
    <xf numFmtId="178" fontId="27" fillId="0" borderId="53" xfId="9" applyNumberFormat="1" applyFont="1" applyBorder="1" applyAlignment="1">
      <alignment horizontal="right" vertical="center"/>
    </xf>
    <xf numFmtId="0" fontId="30" fillId="0" borderId="53" xfId="9" applyFont="1" applyBorder="1"/>
    <xf numFmtId="0" fontId="30" fillId="0" borderId="53" xfId="9" applyFont="1" applyBorder="1" applyAlignment="1">
      <alignment horizontal="right"/>
    </xf>
    <xf numFmtId="169" fontId="0" fillId="3" borderId="53" xfId="1" applyNumberFormat="1" applyFont="1" applyFill="1" applyBorder="1"/>
    <xf numFmtId="169" fontId="0" fillId="2" borderId="53" xfId="1" applyNumberFormat="1" applyFont="1" applyFill="1" applyBorder="1"/>
    <xf numFmtId="178" fontId="26" fillId="0" borderId="53" xfId="9" applyNumberFormat="1" applyFont="1" applyBorder="1" applyAlignment="1">
      <alignment horizontal="right" vertical="center"/>
    </xf>
    <xf numFmtId="0" fontId="39" fillId="0" borderId="53" xfId="9" applyFont="1" applyBorder="1" applyAlignment="1">
      <alignment vertical="center"/>
    </xf>
    <xf numFmtId="178" fontId="39" fillId="0" borderId="53" xfId="9" applyNumberFormat="1" applyFont="1" applyBorder="1" applyAlignment="1">
      <alignment horizontal="right" vertical="center"/>
    </xf>
    <xf numFmtId="169" fontId="6" fillId="3" borderId="53" xfId="1" applyNumberFormat="1" applyFont="1" applyFill="1" applyBorder="1" applyAlignment="1">
      <alignment vertical="center"/>
    </xf>
    <xf numFmtId="10" fontId="0" fillId="7" borderId="8" xfId="1" applyNumberFormat="1" applyFont="1" applyFill="1" applyBorder="1"/>
    <xf numFmtId="10" fontId="6" fillId="3" borderId="53" xfId="9" applyNumberFormat="1" applyFont="1" applyFill="1" applyBorder="1" applyAlignment="1">
      <alignment horizontal="right" vertical="center"/>
    </xf>
    <xf numFmtId="178" fontId="31" fillId="3" borderId="53" xfId="9" applyNumberFormat="1" applyFont="1" applyFill="1" applyBorder="1" applyAlignment="1">
      <alignment horizontal="right" vertical="center"/>
    </xf>
    <xf numFmtId="180" fontId="30" fillId="0" borderId="53" xfId="9" applyNumberFormat="1" applyFont="1" applyBorder="1" applyAlignment="1">
      <alignment horizontal="right"/>
    </xf>
    <xf numFmtId="0" fontId="1" fillId="3" borderId="0" xfId="9" applyFill="1"/>
    <xf numFmtId="0" fontId="1" fillId="3" borderId="0" xfId="9" applyFill="1" applyAlignment="1">
      <alignment horizontal="left" vertical="center"/>
    </xf>
    <xf numFmtId="179" fontId="42" fillId="3" borderId="0" xfId="10" applyNumberFormat="1" applyFont="1" applyFill="1" applyBorder="1" applyAlignment="1">
      <alignment horizontal="right" vertical="center"/>
    </xf>
    <xf numFmtId="178" fontId="42" fillId="3" borderId="0" xfId="9" applyNumberFormat="1" applyFont="1" applyFill="1" applyAlignment="1">
      <alignment horizontal="right" vertical="center"/>
    </xf>
    <xf numFmtId="180" fontId="42" fillId="3" borderId="0" xfId="10" applyNumberFormat="1" applyFont="1" applyFill="1" applyBorder="1" applyAlignment="1">
      <alignment horizontal="right" vertical="center"/>
    </xf>
    <xf numFmtId="0" fontId="36" fillId="20" borderId="53" xfId="9" applyFont="1" applyFill="1" applyBorder="1"/>
    <xf numFmtId="178" fontId="42" fillId="3" borderId="53" xfId="9" applyNumberFormat="1" applyFont="1" applyFill="1" applyBorder="1" applyAlignment="1">
      <alignment horizontal="right" vertical="center"/>
    </xf>
    <xf numFmtId="43" fontId="0" fillId="7" borderId="8" xfId="1" applyFont="1" applyFill="1" applyBorder="1"/>
    <xf numFmtId="183" fontId="0" fillId="3" borderId="53" xfId="1" applyNumberFormat="1" applyFont="1" applyFill="1" applyBorder="1"/>
    <xf numFmtId="2" fontId="1" fillId="0" borderId="0" xfId="9" applyNumberFormat="1"/>
    <xf numFmtId="0" fontId="6" fillId="0" borderId="53" xfId="9" applyFont="1" applyBorder="1" applyAlignment="1">
      <alignment horizontal="left" vertical="center"/>
    </xf>
    <xf numFmtId="0" fontId="30" fillId="0" borderId="57" xfId="9" applyFont="1" applyBorder="1"/>
    <xf numFmtId="180" fontId="30" fillId="0" borderId="57" xfId="9" applyNumberFormat="1" applyFont="1" applyBorder="1" applyAlignment="1">
      <alignment horizontal="right"/>
    </xf>
    <xf numFmtId="0" fontId="30" fillId="0" borderId="62" xfId="9" applyFont="1" applyBorder="1"/>
    <xf numFmtId="180" fontId="30" fillId="0" borderId="62" xfId="9" applyNumberFormat="1" applyFont="1" applyBorder="1" applyAlignment="1">
      <alignment horizontal="right"/>
    </xf>
    <xf numFmtId="0" fontId="30" fillId="0" borderId="62" xfId="9" applyFont="1" applyBorder="1" applyAlignment="1">
      <alignment horizontal="right"/>
    </xf>
    <xf numFmtId="0" fontId="30" fillId="0" borderId="57" xfId="9" applyFont="1" applyBorder="1" applyAlignment="1">
      <alignment horizontal="right"/>
    </xf>
    <xf numFmtId="0" fontId="30" fillId="0" borderId="53" xfId="9" applyFont="1" applyBorder="1" applyAlignment="1">
      <alignment vertical="center"/>
    </xf>
    <xf numFmtId="178" fontId="30" fillId="0" borderId="53" xfId="9" applyNumberFormat="1" applyFont="1" applyBorder="1" applyAlignment="1">
      <alignment horizontal="right" vertical="center"/>
    </xf>
    <xf numFmtId="0" fontId="39" fillId="0" borderId="59" xfId="9" applyFont="1" applyBorder="1" applyAlignment="1">
      <alignment vertical="center"/>
    </xf>
    <xf numFmtId="179" fontId="39" fillId="0" borderId="60" xfId="10" applyNumberFormat="1" applyFont="1" applyBorder="1" applyAlignment="1">
      <alignment horizontal="right" vertical="center"/>
    </xf>
    <xf numFmtId="179" fontId="39" fillId="0" borderId="61" xfId="10" applyNumberFormat="1" applyFont="1" applyBorder="1" applyAlignment="1">
      <alignment horizontal="right" vertical="center"/>
    </xf>
    <xf numFmtId="0" fontId="30" fillId="0" borderId="58" xfId="9" applyFont="1" applyBorder="1" applyAlignment="1">
      <alignment vertical="center"/>
    </xf>
    <xf numFmtId="179" fontId="30" fillId="0" borderId="58" xfId="10" applyNumberFormat="1" applyFont="1" applyBorder="1" applyAlignment="1">
      <alignment horizontal="right" vertical="center"/>
    </xf>
    <xf numFmtId="179" fontId="30" fillId="0" borderId="53" xfId="10" applyNumberFormat="1" applyFont="1" applyBorder="1" applyAlignment="1">
      <alignment horizontal="right" vertical="center"/>
    </xf>
    <xf numFmtId="179" fontId="30" fillId="0" borderId="58" xfId="10" applyNumberFormat="1" applyFont="1" applyFill="1" applyBorder="1" applyAlignment="1">
      <alignment horizontal="right" vertical="center"/>
    </xf>
    <xf numFmtId="179" fontId="30" fillId="0" borderId="53" xfId="10" applyNumberFormat="1" applyFont="1" applyFill="1" applyBorder="1" applyAlignment="1">
      <alignment horizontal="right" vertical="center"/>
    </xf>
    <xf numFmtId="178" fontId="39" fillId="0" borderId="60" xfId="9" applyNumberFormat="1" applyFont="1" applyBorder="1" applyAlignment="1">
      <alignment horizontal="right" vertical="center"/>
    </xf>
    <xf numFmtId="178" fontId="39" fillId="0" borderId="61" xfId="9" applyNumberFormat="1" applyFont="1" applyBorder="1" applyAlignment="1">
      <alignment horizontal="right" vertical="center"/>
    </xf>
    <xf numFmtId="178" fontId="30" fillId="0" borderId="58" xfId="9" applyNumberFormat="1" applyFont="1" applyBorder="1" applyAlignment="1">
      <alignment horizontal="right" vertical="center"/>
    </xf>
    <xf numFmtId="184" fontId="41" fillId="0" borderId="0" xfId="9" applyNumberFormat="1" applyFont="1" applyAlignment="1">
      <alignment horizontal="right" vertical="center"/>
    </xf>
    <xf numFmtId="179" fontId="39" fillId="0" borderId="53" xfId="10" applyNumberFormat="1" applyFont="1" applyFill="1" applyBorder="1" applyAlignment="1">
      <alignment horizontal="right" vertical="center"/>
    </xf>
    <xf numFmtId="179" fontId="39" fillId="0" borderId="60" xfId="10" applyNumberFormat="1" applyFont="1" applyFill="1" applyBorder="1" applyAlignment="1">
      <alignment horizontal="right" vertical="center"/>
    </xf>
    <xf numFmtId="179" fontId="39" fillId="0" borderId="61" xfId="10" applyNumberFormat="1" applyFont="1" applyFill="1" applyBorder="1" applyAlignment="1">
      <alignment horizontal="right" vertical="center"/>
    </xf>
    <xf numFmtId="180" fontId="39" fillId="0" borderId="60" xfId="10" applyNumberFormat="1" applyFont="1" applyBorder="1" applyAlignment="1">
      <alignment horizontal="right" vertical="center"/>
    </xf>
    <xf numFmtId="180" fontId="39" fillId="0" borderId="61" xfId="10" applyNumberFormat="1" applyFont="1" applyBorder="1" applyAlignment="1">
      <alignment horizontal="right" vertical="center"/>
    </xf>
    <xf numFmtId="0" fontId="11" fillId="21" borderId="7" xfId="0" applyFont="1" applyFill="1" applyBorder="1"/>
    <xf numFmtId="0" fontId="11" fillId="22" borderId="7" xfId="0" applyFont="1" applyFill="1" applyBorder="1"/>
    <xf numFmtId="0" fontId="11" fillId="4" borderId="7" xfId="0" applyFont="1" applyFill="1" applyBorder="1"/>
    <xf numFmtId="0" fontId="23" fillId="20" borderId="0" xfId="0" applyFont="1" applyFill="1"/>
    <xf numFmtId="0" fontId="43" fillId="20" borderId="7" xfId="3" applyFont="1" applyFill="1" applyBorder="1"/>
    <xf numFmtId="0" fontId="2" fillId="23" borderId="7" xfId="3" applyFill="1" applyBorder="1"/>
    <xf numFmtId="0" fontId="2" fillId="16" borderId="7" xfId="3" applyFill="1" applyBorder="1"/>
    <xf numFmtId="0" fontId="2" fillId="4" borderId="7" xfId="3" applyFill="1" applyBorder="1"/>
    <xf numFmtId="0" fontId="2" fillId="24" borderId="7" xfId="3" applyFill="1" applyBorder="1"/>
    <xf numFmtId="0" fontId="2" fillId="21" borderId="7" xfId="3" applyFill="1" applyBorder="1"/>
    <xf numFmtId="0" fontId="2" fillId="25" borderId="7" xfId="3" applyFill="1" applyBorder="1"/>
    <xf numFmtId="0" fontId="8" fillId="21" borderId="7" xfId="0" applyFont="1" applyFill="1" applyBorder="1"/>
    <xf numFmtId="0" fontId="8" fillId="22" borderId="7" xfId="0" applyFont="1" applyFill="1" applyBorder="1" applyAlignment="1">
      <alignment horizontal="center"/>
    </xf>
    <xf numFmtId="14" fontId="8" fillId="22" borderId="7" xfId="0" applyNumberFormat="1" applyFont="1" applyFill="1" applyBorder="1" applyAlignment="1">
      <alignment horizontal="center"/>
    </xf>
    <xf numFmtId="164" fontId="8" fillId="22" borderId="7" xfId="0" applyNumberFormat="1" applyFont="1" applyFill="1" applyBorder="1" applyAlignment="1">
      <alignment horizontal="center"/>
    </xf>
    <xf numFmtId="0" fontId="11" fillId="4" borderId="7" xfId="0" applyFont="1" applyFill="1" applyBorder="1" applyAlignment="1">
      <alignment wrapText="1"/>
    </xf>
    <xf numFmtId="0" fontId="11" fillId="24" borderId="7" xfId="0" applyFont="1" applyFill="1" applyBorder="1"/>
    <xf numFmtId="0" fontId="45" fillId="0" borderId="34" xfId="0" applyFont="1" applyBorder="1" applyAlignment="1">
      <alignment wrapText="1"/>
    </xf>
    <xf numFmtId="0" fontId="46" fillId="0" borderId="36" xfId="0" applyFont="1" applyBorder="1" applyAlignment="1">
      <alignment horizontal="center" vertical="center"/>
    </xf>
    <xf numFmtId="37" fontId="0" fillId="4" borderId="37" xfId="1" applyNumberFormat="1" applyFont="1" applyFill="1" applyBorder="1"/>
    <xf numFmtId="37" fontId="0" fillId="4" borderId="63" xfId="1" applyNumberFormat="1" applyFont="1" applyFill="1" applyBorder="1"/>
    <xf numFmtId="2" fontId="34" fillId="2" borderId="7" xfId="5" applyNumberFormat="1" applyFont="1" applyFill="1" applyBorder="1" applyAlignment="1">
      <alignment horizontal="right" vertical="top" wrapText="1"/>
    </xf>
    <xf numFmtId="0" fontId="33" fillId="3" borderId="7" xfId="4" applyFont="1" applyFill="1" applyBorder="1" applyAlignment="1">
      <alignment horizontal="left" vertical="top" wrapText="1"/>
    </xf>
    <xf numFmtId="0" fontId="33" fillId="3" borderId="7" xfId="0" applyFont="1" applyFill="1" applyBorder="1" applyAlignment="1">
      <alignment horizontal="left" vertical="top" wrapText="1"/>
    </xf>
    <xf numFmtId="0" fontId="33" fillId="3" borderId="7" xfId="0" applyFont="1" applyFill="1" applyBorder="1" applyAlignment="1">
      <alignment vertical="top" wrapText="1"/>
    </xf>
    <xf numFmtId="167" fontId="25" fillId="0" borderId="8" xfId="0" applyNumberFormat="1" applyFont="1" applyBorder="1" applyAlignment="1">
      <alignment horizontal="center"/>
    </xf>
    <xf numFmtId="2" fontId="0" fillId="0" borderId="7" xfId="0" applyNumberFormat="1" applyBorder="1"/>
    <xf numFmtId="0" fontId="0" fillId="4" borderId="7" xfId="0" applyFill="1" applyBorder="1"/>
    <xf numFmtId="2" fontId="0" fillId="4" borderId="7" xfId="0" applyNumberFormat="1" applyFill="1" applyBorder="1"/>
    <xf numFmtId="0" fontId="11" fillId="26" borderId="7" xfId="0" applyFont="1" applyFill="1" applyBorder="1" applyAlignment="1">
      <alignment wrapText="1"/>
    </xf>
    <xf numFmtId="0" fontId="12" fillId="22" borderId="7" xfId="0" applyFont="1" applyFill="1" applyBorder="1"/>
    <xf numFmtId="10" fontId="12" fillId="22" borderId="7" xfId="0" applyNumberFormat="1" applyFont="1" applyFill="1" applyBorder="1"/>
    <xf numFmtId="0" fontId="6" fillId="0" borderId="2" xfId="0" applyFont="1" applyBorder="1"/>
    <xf numFmtId="0" fontId="12" fillId="3" borderId="7" xfId="0" applyFont="1" applyFill="1" applyBorder="1" applyAlignment="1">
      <alignment horizontal="center"/>
    </xf>
    <xf numFmtId="0" fontId="9" fillId="8" borderId="7" xfId="0" applyFont="1" applyFill="1" applyBorder="1"/>
    <xf numFmtId="0" fontId="32" fillId="0" borderId="7" xfId="4" applyFont="1" applyBorder="1"/>
    <xf numFmtId="0" fontId="33" fillId="3" borderId="7" xfId="4" applyFont="1" applyFill="1" applyBorder="1" applyAlignment="1">
      <alignment horizontal="left" wrapText="1"/>
    </xf>
    <xf numFmtId="172" fontId="33" fillId="3" borderId="7" xfId="5" applyFont="1" applyFill="1" applyBorder="1" applyAlignment="1">
      <alignment horizontal="center" wrapText="1"/>
    </xf>
    <xf numFmtId="0" fontId="33" fillId="3" borderId="7" xfId="4" applyFont="1" applyFill="1" applyBorder="1" applyAlignment="1">
      <alignment horizontal="center" wrapText="1"/>
    </xf>
    <xf numFmtId="2" fontId="34" fillId="3" borderId="7" xfId="6" applyNumberFormat="1" applyFont="1" applyFill="1" applyBorder="1" applyAlignment="1">
      <alignment horizontal="right" vertical="top" wrapText="1"/>
    </xf>
    <xf numFmtId="2" fontId="34" fillId="3" borderId="7" xfId="7" applyNumberFormat="1" applyFont="1" applyFill="1" applyBorder="1" applyAlignment="1">
      <alignment horizontal="right" vertical="top" wrapText="1"/>
    </xf>
    <xf numFmtId="0" fontId="9" fillId="0" borderId="0" xfId="0" applyFont="1"/>
    <xf numFmtId="0" fontId="33" fillId="0" borderId="0" xfId="4" applyFont="1" applyAlignment="1">
      <alignment horizontal="right" wrapText="1"/>
    </xf>
    <xf numFmtId="2" fontId="34" fillId="0" borderId="0" xfId="4" applyNumberFormat="1" applyFont="1" applyAlignment="1">
      <alignment horizontal="right" vertical="top" wrapText="1"/>
    </xf>
    <xf numFmtId="175" fontId="34" fillId="0" borderId="0" xfId="4" applyNumberFormat="1" applyFont="1" applyAlignment="1">
      <alignment horizontal="right" vertical="top" wrapText="1"/>
    </xf>
    <xf numFmtId="2" fontId="34" fillId="0" borderId="0" xfId="0" applyNumberFormat="1" applyFont="1" applyAlignment="1">
      <alignment horizontal="right" vertical="top"/>
    </xf>
    <xf numFmtId="0" fontId="33" fillId="0" borderId="0" xfId="0" applyFont="1" applyAlignment="1">
      <alignment vertical="top" wrapText="1"/>
    </xf>
    <xf numFmtId="174" fontId="33" fillId="0" borderId="0" xfId="0" applyNumberFormat="1" applyFont="1" applyAlignment="1">
      <alignment horizontal="right" vertical="top" wrapText="1"/>
    </xf>
    <xf numFmtId="0" fontId="33" fillId="0" borderId="0" xfId="0" applyFont="1" applyAlignment="1">
      <alignment horizontal="right" vertical="top" wrapText="1"/>
    </xf>
    <xf numFmtId="174" fontId="34" fillId="0" borderId="0" xfId="6" applyNumberFormat="1" applyFont="1" applyFill="1" applyBorder="1" applyAlignment="1">
      <alignment horizontal="right" vertical="top" wrapText="1"/>
    </xf>
    <xf numFmtId="172" fontId="34" fillId="0" borderId="0" xfId="6" applyFont="1" applyFill="1" applyBorder="1" applyAlignment="1">
      <alignment horizontal="right" vertical="top" wrapText="1"/>
    </xf>
    <xf numFmtId="167" fontId="11" fillId="6" borderId="7" xfId="0" applyNumberFormat="1" applyFont="1" applyFill="1" applyBorder="1" applyAlignment="1">
      <alignment horizontal="center" wrapText="1"/>
    </xf>
    <xf numFmtId="3" fontId="12" fillId="0" borderId="0" xfId="0" applyNumberFormat="1" applyFont="1" applyAlignment="1">
      <alignment horizontal="center"/>
    </xf>
    <xf numFmtId="0" fontId="11" fillId="0" borderId="50" xfId="0" applyFont="1" applyBorder="1"/>
    <xf numFmtId="0" fontId="11" fillId="0" borderId="64" xfId="0" applyFont="1" applyBorder="1"/>
    <xf numFmtId="3" fontId="12" fillId="3" borderId="7" xfId="0" applyNumberFormat="1" applyFont="1" applyFill="1" applyBorder="1" applyAlignment="1">
      <alignment horizontal="center"/>
    </xf>
    <xf numFmtId="4" fontId="12" fillId="3" borderId="7" xfId="0" applyNumberFormat="1" applyFont="1" applyFill="1" applyBorder="1" applyAlignment="1">
      <alignment horizontal="center"/>
    </xf>
    <xf numFmtId="2" fontId="12" fillId="3" borderId="7" xfId="0" applyNumberFormat="1" applyFont="1" applyFill="1" applyBorder="1" applyAlignment="1">
      <alignment horizontal="center"/>
    </xf>
    <xf numFmtId="2" fontId="0" fillId="3" borderId="7" xfId="0" applyNumberFormat="1" applyFill="1" applyBorder="1"/>
    <xf numFmtId="10" fontId="12" fillId="2" borderId="7" xfId="0" applyNumberFormat="1" applyFont="1" applyFill="1" applyBorder="1" applyAlignment="1">
      <alignment horizontal="center"/>
    </xf>
    <xf numFmtId="0" fontId="1" fillId="0" borderId="0" xfId="0" applyFont="1" applyAlignment="1">
      <alignment vertical="center" wrapText="1"/>
    </xf>
    <xf numFmtId="0" fontId="15" fillId="0" borderId="0" xfId="0" applyFont="1" applyAlignment="1">
      <alignment vertical="center" wrapText="1"/>
    </xf>
    <xf numFmtId="0" fontId="8" fillId="0" borderId="7" xfId="4" applyFont="1" applyBorder="1"/>
    <xf numFmtId="1" fontId="34" fillId="2" borderId="7" xfId="5" applyNumberFormat="1" applyFont="1" applyFill="1" applyBorder="1" applyAlignment="1">
      <alignment horizontal="right" vertical="top" wrapText="1"/>
    </xf>
    <xf numFmtId="174" fontId="34" fillId="0" borderId="7" xfId="4" applyNumberFormat="1" applyFont="1" applyBorder="1" applyAlignment="1">
      <alignment horizontal="right" vertical="top" wrapText="1"/>
    </xf>
    <xf numFmtId="174" fontId="34" fillId="0" borderId="7" xfId="0" applyNumberFormat="1" applyFont="1" applyBorder="1" applyAlignment="1">
      <alignment vertical="top" wrapText="1"/>
    </xf>
    <xf numFmtId="174" fontId="32" fillId="0" borderId="7" xfId="0" applyNumberFormat="1" applyFont="1" applyBorder="1"/>
    <xf numFmtId="3" fontId="12" fillId="4" borderId="18" xfId="0" applyNumberFormat="1" applyFont="1" applyFill="1" applyBorder="1" applyAlignment="1">
      <alignment horizontal="center"/>
    </xf>
    <xf numFmtId="3" fontId="12" fillId="6" borderId="7" xfId="0" applyNumberFormat="1" applyFont="1" applyFill="1" applyBorder="1" applyAlignment="1">
      <alignment horizontal="right"/>
    </xf>
    <xf numFmtId="3" fontId="12" fillId="6" borderId="8" xfId="0" applyNumberFormat="1" applyFont="1" applyFill="1" applyBorder="1" applyAlignment="1">
      <alignment horizontal="right"/>
    </xf>
    <xf numFmtId="176" fontId="12" fillId="6" borderId="7" xfId="0" applyNumberFormat="1" applyFont="1" applyFill="1" applyBorder="1" applyAlignment="1">
      <alignment horizontal="right"/>
    </xf>
    <xf numFmtId="4" fontId="12" fillId="6" borderId="7" xfId="0" applyNumberFormat="1" applyFont="1" applyFill="1" applyBorder="1" applyAlignment="1">
      <alignment horizontal="right"/>
    </xf>
    <xf numFmtId="3" fontId="12" fillId="6" borderId="18" xfId="0" applyNumberFormat="1" applyFont="1" applyFill="1" applyBorder="1" applyAlignment="1">
      <alignment horizontal="right"/>
    </xf>
    <xf numFmtId="3" fontId="12" fillId="4" borderId="18" xfId="0" applyNumberFormat="1" applyFont="1" applyFill="1" applyBorder="1" applyAlignment="1">
      <alignment horizontal="right"/>
    </xf>
    <xf numFmtId="4" fontId="12" fillId="0" borderId="0" xfId="0" applyNumberFormat="1" applyFont="1" applyAlignment="1">
      <alignment horizontal="right"/>
    </xf>
    <xf numFmtId="0" fontId="48" fillId="0" borderId="7" xfId="0" applyFont="1" applyBorder="1" applyAlignment="1">
      <alignment horizontal="center" vertical="center"/>
    </xf>
    <xf numFmtId="0" fontId="0" fillId="0" borderId="7" xfId="0" applyBorder="1" applyAlignment="1">
      <alignment vertical="center" wrapText="1"/>
    </xf>
    <xf numFmtId="43" fontId="0" fillId="0" borderId="7" xfId="0" applyNumberFormat="1" applyBorder="1" applyAlignment="1">
      <alignment vertical="center"/>
    </xf>
    <xf numFmtId="0" fontId="13" fillId="0" borderId="8" xfId="2" applyNumberFormat="1" applyFont="1" applyBorder="1" applyAlignment="1">
      <alignment horizontal="left"/>
    </xf>
    <xf numFmtId="0" fontId="13" fillId="0" borderId="9" xfId="2" applyNumberFormat="1" applyFont="1" applyBorder="1" applyAlignment="1">
      <alignment horizontal="left"/>
    </xf>
    <xf numFmtId="0" fontId="13" fillId="0" borderId="10" xfId="2" applyNumberFormat="1" applyFont="1" applyBorder="1" applyAlignment="1">
      <alignment horizontal="left"/>
    </xf>
    <xf numFmtId="166" fontId="0" fillId="3" borderId="7" xfId="1" applyNumberFormat="1" applyFont="1" applyFill="1" applyBorder="1"/>
    <xf numFmtId="0" fontId="0" fillId="2" borderId="7" xfId="1" applyNumberFormat="1" applyFont="1" applyFill="1" applyBorder="1" applyAlignment="1">
      <alignment horizontal="right"/>
    </xf>
    <xf numFmtId="166" fontId="0" fillId="2" borderId="7" xfId="1" applyNumberFormat="1" applyFont="1" applyFill="1" applyBorder="1" applyAlignment="1">
      <alignment horizontal="right"/>
    </xf>
    <xf numFmtId="10" fontId="0" fillId="2" borderId="7" xfId="1" applyNumberFormat="1" applyFont="1" applyFill="1" applyBorder="1" applyAlignment="1">
      <alignment horizontal="right"/>
    </xf>
    <xf numFmtId="166" fontId="0" fillId="3" borderId="7" xfId="1" applyNumberFormat="1" applyFont="1" applyFill="1" applyBorder="1" applyAlignment="1">
      <alignment horizontal="right"/>
    </xf>
    <xf numFmtId="165" fontId="0" fillId="2" borderId="7" xfId="2" applyNumberFormat="1" applyFont="1" applyFill="1" applyBorder="1" applyAlignment="1">
      <alignment horizontal="right"/>
    </xf>
    <xf numFmtId="0" fontId="0" fillId="7" borderId="7" xfId="1" applyNumberFormat="1" applyFont="1" applyFill="1" applyBorder="1" applyAlignment="1">
      <alignment horizontal="right"/>
    </xf>
    <xf numFmtId="166" fontId="0" fillId="7" borderId="7" xfId="1" applyNumberFormat="1" applyFont="1" applyFill="1" applyBorder="1" applyAlignment="1">
      <alignment horizontal="right"/>
    </xf>
    <xf numFmtId="10" fontId="0" fillId="7" borderId="7" xfId="1" applyNumberFormat="1" applyFont="1" applyFill="1" applyBorder="1" applyAlignment="1">
      <alignment horizontal="right"/>
    </xf>
    <xf numFmtId="165" fontId="0" fillId="7" borderId="7" xfId="2" applyNumberFormat="1" applyFont="1" applyFill="1" applyBorder="1" applyAlignment="1">
      <alignment horizontal="right"/>
    </xf>
    <xf numFmtId="2" fontId="0" fillId="3" borderId="7" xfId="2" applyNumberFormat="1" applyFont="1" applyFill="1" applyBorder="1"/>
    <xf numFmtId="0" fontId="49" fillId="0" borderId="7" xfId="0" applyFont="1" applyBorder="1" applyAlignment="1">
      <alignment horizontal="left"/>
    </xf>
    <xf numFmtId="0" fontId="50" fillId="0" borderId="7" xfId="0" applyFont="1" applyBorder="1"/>
    <xf numFmtId="0" fontId="49" fillId="0" borderId="7" xfId="0" applyFont="1" applyBorder="1"/>
    <xf numFmtId="10" fontId="49" fillId="0" borderId="7" xfId="0" applyNumberFormat="1" applyFont="1" applyBorder="1"/>
    <xf numFmtId="0" fontId="0" fillId="0" borderId="0" xfId="0" applyAlignment="1">
      <alignment horizontal="center"/>
    </xf>
    <xf numFmtId="164" fontId="0" fillId="0" borderId="7" xfId="0" applyNumberFormat="1" applyBorder="1"/>
    <xf numFmtId="1" fontId="0" fillId="0" borderId="7" xfId="0" applyNumberFormat="1" applyBorder="1"/>
    <xf numFmtId="1" fontId="12" fillId="3" borderId="7" xfId="0" applyNumberFormat="1" applyFont="1" applyFill="1" applyBorder="1"/>
    <xf numFmtId="3" fontId="12" fillId="3" borderId="18" xfId="0" applyNumberFormat="1" applyFont="1" applyFill="1" applyBorder="1" applyAlignment="1">
      <alignment horizontal="right"/>
    </xf>
    <xf numFmtId="166" fontId="0" fillId="0" borderId="7" xfId="0" applyNumberFormat="1" applyBorder="1"/>
    <xf numFmtId="0" fontId="52" fillId="20" borderId="7" xfId="3" applyFont="1" applyFill="1" applyBorder="1" applyAlignment="1">
      <alignment horizontal="center"/>
    </xf>
    <xf numFmtId="14" fontId="0" fillId="2" borderId="7" xfId="0" applyNumberFormat="1" applyFill="1" applyBorder="1" applyAlignment="1">
      <alignment horizontal="center"/>
    </xf>
    <xf numFmtId="0" fontId="0" fillId="2" borderId="7" xfId="0" applyFill="1" applyBorder="1" applyAlignment="1">
      <alignment horizontal="center"/>
    </xf>
    <xf numFmtId="9" fontId="0" fillId="2" borderId="7" xfId="0" applyNumberFormat="1" applyFill="1" applyBorder="1" applyAlignment="1">
      <alignment horizontal="center"/>
    </xf>
    <xf numFmtId="165" fontId="0" fillId="2" borderId="10" xfId="2" applyNumberFormat="1" applyFont="1" applyFill="1" applyBorder="1"/>
    <xf numFmtId="0" fontId="0" fillId="0" borderId="53" xfId="9" applyFont="1" applyBorder="1" applyAlignment="1">
      <alignment horizontal="left" vertical="center"/>
    </xf>
    <xf numFmtId="0" fontId="6" fillId="0" borderId="57" xfId="9" applyFont="1" applyBorder="1" applyAlignment="1">
      <alignment horizontal="left" vertical="center"/>
    </xf>
    <xf numFmtId="169" fontId="6" fillId="3" borderId="57" xfId="1" applyNumberFormat="1" applyFont="1" applyFill="1" applyBorder="1"/>
    <xf numFmtId="0" fontId="1" fillId="3" borderId="7" xfId="9" applyFill="1" applyBorder="1"/>
    <xf numFmtId="0" fontId="6" fillId="0" borderId="7" xfId="9" applyFont="1" applyBorder="1"/>
    <xf numFmtId="0" fontId="1" fillId="2" borderId="7" xfId="9" applyFill="1" applyBorder="1"/>
    <xf numFmtId="9" fontId="1" fillId="2" borderId="7" xfId="9" applyNumberFormat="1" applyFill="1" applyBorder="1"/>
    <xf numFmtId="169" fontId="6" fillId="3" borderId="7" xfId="1" applyNumberFormat="1" applyFont="1" applyFill="1" applyBorder="1"/>
    <xf numFmtId="0" fontId="12" fillId="3" borderId="7" xfId="0" applyFont="1" applyFill="1" applyBorder="1" applyAlignment="1">
      <alignment horizontal="center" wrapText="1"/>
    </xf>
    <xf numFmtId="0" fontId="6" fillId="3" borderId="7" xfId="9" applyFont="1" applyFill="1" applyBorder="1" applyAlignment="1">
      <alignment horizontal="left" vertical="center" wrapText="1"/>
    </xf>
    <xf numFmtId="0" fontId="13" fillId="0" borderId="0" xfId="2" applyNumberFormat="1" applyFont="1" applyBorder="1" applyAlignment="1">
      <alignment horizontal="left"/>
    </xf>
    <xf numFmtId="0" fontId="13" fillId="0" borderId="3" xfId="2" applyNumberFormat="1" applyFont="1" applyBorder="1" applyAlignment="1">
      <alignment horizontal="left"/>
    </xf>
    <xf numFmtId="0" fontId="44" fillId="20" borderId="2" xfId="3" applyFont="1" applyFill="1" applyBorder="1" applyAlignment="1">
      <alignment horizontal="left" vertical="top" wrapText="1"/>
    </xf>
    <xf numFmtId="0" fontId="44" fillId="20" borderId="0" xfId="3" applyFont="1" applyFill="1" applyBorder="1" applyAlignment="1">
      <alignment horizontal="left" vertical="top" wrapText="1"/>
    </xf>
    <xf numFmtId="0" fontId="23" fillId="20" borderId="7" xfId="3" applyFont="1" applyFill="1" applyBorder="1" applyAlignment="1">
      <alignment horizontal="left" vertical="center"/>
    </xf>
    <xf numFmtId="0" fontId="12" fillId="0" borderId="9" xfId="2" applyNumberFormat="1" applyFont="1" applyBorder="1" applyAlignment="1">
      <alignment horizontal="center"/>
    </xf>
    <xf numFmtId="0" fontId="12" fillId="0" borderId="10" xfId="2" applyNumberFormat="1" applyFont="1" applyBorder="1" applyAlignment="1">
      <alignment horizontal="center"/>
    </xf>
    <xf numFmtId="0" fontId="6" fillId="6" borderId="7" xfId="0" applyFont="1" applyFill="1" applyBorder="1" applyAlignment="1">
      <alignment horizontal="left" vertical="top" wrapText="1"/>
    </xf>
    <xf numFmtId="0" fontId="21" fillId="6" borderId="7" xfId="0" applyFont="1" applyFill="1" applyBorder="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center" wrapText="1"/>
    </xf>
    <xf numFmtId="0" fontId="0" fillId="6" borderId="9" xfId="0" applyFill="1" applyBorder="1" applyAlignment="1">
      <alignment horizontal="center" wrapText="1"/>
    </xf>
    <xf numFmtId="0" fontId="0" fillId="6" borderId="10" xfId="0" applyFill="1" applyBorder="1" applyAlignment="1">
      <alignment horizontal="center" wrapText="1"/>
    </xf>
    <xf numFmtId="0" fontId="11" fillId="6" borderId="8" xfId="0" applyFont="1" applyFill="1" applyBorder="1" applyAlignment="1">
      <alignment horizontal="left" wrapText="1"/>
    </xf>
    <xf numFmtId="0" fontId="11" fillId="6" borderId="9" xfId="0" applyFont="1" applyFill="1" applyBorder="1" applyAlignment="1">
      <alignment horizontal="left"/>
    </xf>
    <xf numFmtId="0" fontId="11" fillId="6" borderId="10" xfId="0" applyFont="1" applyFill="1" applyBorder="1" applyAlignment="1">
      <alignment horizontal="left"/>
    </xf>
    <xf numFmtId="0" fontId="0" fillId="5" borderId="8" xfId="0" applyFill="1" applyBorder="1" applyAlignment="1">
      <alignment horizontal="left" vertical="top" wrapText="1"/>
    </xf>
    <xf numFmtId="0" fontId="0" fillId="5" borderId="9" xfId="0" applyFill="1" applyBorder="1" applyAlignment="1">
      <alignment horizontal="left" vertical="top" wrapText="1"/>
    </xf>
    <xf numFmtId="0" fontId="0" fillId="5" borderId="10" xfId="0" applyFill="1" applyBorder="1" applyAlignment="1">
      <alignment horizontal="left" vertical="top" wrapText="1"/>
    </xf>
    <xf numFmtId="0" fontId="0" fillId="5" borderId="8" xfId="0" applyFill="1" applyBorder="1" applyAlignment="1">
      <alignment horizontal="left" vertical="top"/>
    </xf>
    <xf numFmtId="0" fontId="0" fillId="5" borderId="9" xfId="0" applyFill="1" applyBorder="1" applyAlignment="1">
      <alignment horizontal="left" vertical="top"/>
    </xf>
    <xf numFmtId="0" fontId="0" fillId="5" borderId="10" xfId="0" applyFill="1" applyBorder="1" applyAlignment="1">
      <alignment horizontal="left" vertical="top"/>
    </xf>
    <xf numFmtId="0" fontId="6" fillId="5" borderId="8" xfId="0" applyFont="1" applyFill="1" applyBorder="1" applyAlignment="1">
      <alignment horizontal="left" wrapText="1"/>
    </xf>
    <xf numFmtId="0" fontId="6" fillId="5" borderId="9" xfId="0" applyFont="1" applyFill="1" applyBorder="1" applyAlignment="1">
      <alignment horizontal="left" wrapText="1"/>
    </xf>
    <xf numFmtId="0" fontId="6" fillId="5" borderId="10" xfId="0" applyFont="1" applyFill="1" applyBorder="1" applyAlignment="1">
      <alignment horizontal="left" wrapText="1"/>
    </xf>
    <xf numFmtId="0" fontId="7" fillId="6" borderId="8" xfId="0" applyFont="1" applyFill="1" applyBorder="1" applyAlignment="1">
      <alignment horizontal="center"/>
    </xf>
    <xf numFmtId="0" fontId="7" fillId="6" borderId="9" xfId="0" applyFont="1" applyFill="1" applyBorder="1" applyAlignment="1">
      <alignment horizontal="center"/>
    </xf>
    <xf numFmtId="0" fontId="7" fillId="6" borderId="10" xfId="0" applyFont="1" applyFill="1" applyBorder="1" applyAlignment="1">
      <alignment horizontal="center"/>
    </xf>
    <xf numFmtId="0" fontId="14" fillId="10" borderId="7" xfId="0" applyFont="1" applyFill="1" applyBorder="1" applyAlignment="1">
      <alignment horizontal="center"/>
    </xf>
    <xf numFmtId="0" fontId="14" fillId="9" borderId="7" xfId="0" applyFont="1" applyFill="1" applyBorder="1" applyAlignment="1">
      <alignment horizontal="center"/>
    </xf>
    <xf numFmtId="0" fontId="6" fillId="0" borderId="8" xfId="0" applyFont="1" applyBorder="1" applyAlignment="1">
      <alignment horizontal="left" wrapText="1"/>
    </xf>
    <xf numFmtId="0" fontId="6" fillId="0" borderId="10" xfId="0" applyFont="1" applyBorder="1" applyAlignment="1">
      <alignment horizontal="left" wrapText="1"/>
    </xf>
    <xf numFmtId="0" fontId="13" fillId="0" borderId="8" xfId="2" applyNumberFormat="1" applyFont="1" applyBorder="1" applyAlignment="1">
      <alignment horizontal="center"/>
    </xf>
    <xf numFmtId="0" fontId="13" fillId="0" borderId="9" xfId="2" applyNumberFormat="1" applyFont="1" applyBorder="1" applyAlignment="1">
      <alignment horizontal="center"/>
    </xf>
    <xf numFmtId="0" fontId="13" fillId="0" borderId="10" xfId="2" applyNumberFormat="1" applyFont="1" applyBorder="1" applyAlignment="1">
      <alignment horizontal="center"/>
    </xf>
    <xf numFmtId="0" fontId="13" fillId="0" borderId="7" xfId="2" applyNumberFormat="1" applyFont="1" applyBorder="1" applyAlignment="1">
      <alignment horizontal="left"/>
    </xf>
    <xf numFmtId="0" fontId="13" fillId="0" borderId="8" xfId="2" applyNumberFormat="1" applyFont="1" applyBorder="1" applyAlignment="1">
      <alignment horizontal="left"/>
    </xf>
    <xf numFmtId="0" fontId="13" fillId="0" borderId="9" xfId="2" applyNumberFormat="1" applyFont="1" applyBorder="1" applyAlignment="1">
      <alignment horizontal="left"/>
    </xf>
    <xf numFmtId="0" fontId="13" fillId="0" borderId="10" xfId="2" applyNumberFormat="1" applyFont="1" applyBorder="1" applyAlignment="1">
      <alignment horizontal="left"/>
    </xf>
    <xf numFmtId="0" fontId="13" fillId="0" borderId="5" xfId="2" applyNumberFormat="1" applyFont="1" applyBorder="1" applyAlignment="1">
      <alignment horizontal="left"/>
    </xf>
    <xf numFmtId="0" fontId="13" fillId="0" borderId="6" xfId="2" applyNumberFormat="1" applyFont="1" applyBorder="1" applyAlignment="1">
      <alignment horizontal="left"/>
    </xf>
    <xf numFmtId="0" fontId="12" fillId="0" borderId="7" xfId="2" applyNumberFormat="1" applyFont="1" applyBorder="1" applyAlignment="1">
      <alignment horizontal="center"/>
    </xf>
    <xf numFmtId="0" fontId="12" fillId="0" borderId="18" xfId="2" applyNumberFormat="1" applyFont="1" applyBorder="1" applyAlignment="1">
      <alignment horizontal="center"/>
    </xf>
    <xf numFmtId="0" fontId="14" fillId="10" borderId="15" xfId="0" applyFont="1" applyFill="1" applyBorder="1" applyAlignment="1">
      <alignment horizontal="center"/>
    </xf>
    <xf numFmtId="0" fontId="14" fillId="10" borderId="0" xfId="0" applyFont="1" applyFill="1" applyAlignment="1">
      <alignment horizontal="center"/>
    </xf>
    <xf numFmtId="0" fontId="14" fillId="10" borderId="16" xfId="0" applyFont="1" applyFill="1" applyBorder="1" applyAlignment="1">
      <alignment horizontal="center"/>
    </xf>
    <xf numFmtId="0" fontId="0" fillId="0" borderId="0" xfId="0" applyAlignment="1">
      <alignment horizontal="left"/>
    </xf>
    <xf numFmtId="0" fontId="17" fillId="0" borderId="7" xfId="2" applyNumberFormat="1" applyFont="1" applyBorder="1" applyAlignment="1">
      <alignment horizontal="center"/>
    </xf>
    <xf numFmtId="0" fontId="17" fillId="0" borderId="8" xfId="2" applyNumberFormat="1" applyFont="1" applyBorder="1" applyAlignment="1">
      <alignment horizontal="center"/>
    </xf>
    <xf numFmtId="0" fontId="17" fillId="0" borderId="9" xfId="2" applyNumberFormat="1" applyFont="1" applyBorder="1" applyAlignment="1">
      <alignment horizontal="center"/>
    </xf>
    <xf numFmtId="0" fontId="17" fillId="0" borderId="10" xfId="2" applyNumberFormat="1" applyFont="1" applyBorder="1" applyAlignment="1">
      <alignment horizontal="center"/>
    </xf>
    <xf numFmtId="167" fontId="4" fillId="12" borderId="8" xfId="0" applyNumberFormat="1" applyFont="1" applyFill="1" applyBorder="1" applyAlignment="1">
      <alignment horizontal="center" vertical="center" wrapText="1"/>
    </xf>
    <xf numFmtId="167" fontId="4" fillId="12" borderId="10" xfId="0" applyNumberFormat="1" applyFont="1" applyFill="1" applyBorder="1" applyAlignment="1">
      <alignment horizontal="center" vertical="center" wrapText="1"/>
    </xf>
    <xf numFmtId="0" fontId="13" fillId="0" borderId="7" xfId="2" applyNumberFormat="1" applyFont="1" applyBorder="1" applyAlignment="1">
      <alignment horizontal="center"/>
    </xf>
    <xf numFmtId="0" fontId="0" fillId="0" borderId="2" xfId="0" applyBorder="1" applyAlignment="1">
      <alignment horizontal="left" wrapText="1"/>
    </xf>
    <xf numFmtId="0" fontId="0" fillId="0" borderId="0" xfId="0" applyAlignment="1">
      <alignment horizontal="left" wrapText="1"/>
    </xf>
    <xf numFmtId="0" fontId="11" fillId="0" borderId="9" xfId="2" applyNumberFormat="1" applyFont="1" applyBorder="1" applyAlignment="1">
      <alignment horizontal="center" vertical="center" wrapText="1"/>
    </xf>
    <xf numFmtId="0" fontId="11" fillId="0" borderId="10" xfId="2" applyNumberFormat="1" applyFont="1" applyBorder="1" applyAlignment="1">
      <alignment horizontal="center" vertical="center" wrapText="1"/>
    </xf>
    <xf numFmtId="0" fontId="13" fillId="0" borderId="54" xfId="2" applyNumberFormat="1" applyFont="1" applyBorder="1" applyAlignment="1">
      <alignment horizontal="left"/>
    </xf>
    <xf numFmtId="0" fontId="13" fillId="0" borderId="55" xfId="2" applyNumberFormat="1" applyFont="1" applyBorder="1" applyAlignment="1">
      <alignment horizontal="left"/>
    </xf>
    <xf numFmtId="0" fontId="13" fillId="0" borderId="56" xfId="2" applyNumberFormat="1" applyFont="1" applyBorder="1" applyAlignment="1">
      <alignment horizontal="left"/>
    </xf>
    <xf numFmtId="0" fontId="11" fillId="0" borderId="53" xfId="2" applyNumberFormat="1" applyFont="1" applyBorder="1" applyAlignment="1">
      <alignment horizontal="center"/>
    </xf>
    <xf numFmtId="0" fontId="11" fillId="0" borderId="53" xfId="2" applyNumberFormat="1" applyFont="1" applyBorder="1" applyAlignment="1">
      <alignment horizontal="center" vertical="top"/>
    </xf>
    <xf numFmtId="0" fontId="13" fillId="0" borderId="53" xfId="2" applyNumberFormat="1" applyFont="1" applyBorder="1" applyAlignment="1">
      <alignment horizontal="left"/>
    </xf>
    <xf numFmtId="0" fontId="11" fillId="0" borderId="8" xfId="2" applyNumberFormat="1" applyFont="1" applyBorder="1" applyAlignment="1">
      <alignment horizontal="center" vertical="center"/>
    </xf>
    <xf numFmtId="0" fontId="11" fillId="0" borderId="9" xfId="2" applyNumberFormat="1" applyFont="1" applyBorder="1" applyAlignment="1">
      <alignment horizontal="center" vertical="center"/>
    </xf>
    <xf numFmtId="0" fontId="11" fillId="0" borderId="10" xfId="2" applyNumberFormat="1" applyFont="1" applyBorder="1" applyAlignment="1">
      <alignment horizontal="center" vertical="center"/>
    </xf>
    <xf numFmtId="0" fontId="18" fillId="10" borderId="7" xfId="0" applyFont="1" applyFill="1" applyBorder="1" applyAlignment="1">
      <alignment horizontal="center"/>
    </xf>
    <xf numFmtId="0" fontId="51" fillId="27" borderId="7" xfId="0" applyFont="1" applyFill="1" applyBorder="1" applyAlignment="1">
      <alignment horizontal="center"/>
    </xf>
    <xf numFmtId="0" fontId="9" fillId="8" borderId="11" xfId="0" applyFont="1" applyFill="1" applyBorder="1" applyAlignment="1">
      <alignment horizontal="left"/>
    </xf>
    <xf numFmtId="0" fontId="9" fillId="8" borderId="0" xfId="0" applyFont="1" applyFill="1" applyAlignment="1">
      <alignment horizontal="left"/>
    </xf>
    <xf numFmtId="0" fontId="0" fillId="0" borderId="2" xfId="0" applyBorder="1" applyAlignment="1">
      <alignment horizontal="left"/>
    </xf>
    <xf numFmtId="0" fontId="0" fillId="24" borderId="8" xfId="0" applyFill="1" applyBorder="1" applyAlignment="1">
      <alignment horizontal="center"/>
    </xf>
    <xf numFmtId="0" fontId="0" fillId="24" borderId="10" xfId="0" applyFill="1" applyBorder="1" applyAlignment="1">
      <alignment horizontal="center"/>
    </xf>
    <xf numFmtId="0" fontId="14" fillId="10" borderId="19" xfId="0" applyFont="1" applyFill="1" applyBorder="1" applyAlignment="1">
      <alignment horizontal="center"/>
    </xf>
    <xf numFmtId="0" fontId="14" fillId="10" borderId="20" xfId="0" applyFont="1" applyFill="1" applyBorder="1" applyAlignment="1">
      <alignment horizontal="center"/>
    </xf>
    <xf numFmtId="0" fontId="14" fillId="10" borderId="21" xfId="0" applyFont="1" applyFill="1" applyBorder="1" applyAlignment="1">
      <alignment horizontal="center"/>
    </xf>
    <xf numFmtId="0" fontId="2" fillId="0" borderId="7" xfId="3" applyBorder="1" applyAlignment="1">
      <alignment horizontal="left" wrapText="1"/>
    </xf>
    <xf numFmtId="0" fontId="11" fillId="0" borderId="7" xfId="0" applyFont="1" applyBorder="1" applyAlignment="1">
      <alignment horizontal="center" wrapText="1"/>
    </xf>
    <xf numFmtId="0" fontId="9" fillId="8" borderId="0" xfId="0" applyFont="1" applyFill="1" applyAlignment="1">
      <alignment horizontal="left" wrapText="1"/>
    </xf>
    <xf numFmtId="0" fontId="9" fillId="8" borderId="5" xfId="0" applyFont="1" applyFill="1" applyBorder="1" applyAlignment="1">
      <alignment horizontal="center" wrapText="1"/>
    </xf>
    <xf numFmtId="0" fontId="12" fillId="3" borderId="8" xfId="0" applyFont="1" applyFill="1" applyBorder="1" applyAlignment="1">
      <alignment horizontal="center"/>
    </xf>
    <xf numFmtId="0" fontId="12" fillId="3" borderId="10" xfId="0" applyFont="1" applyFill="1" applyBorder="1" applyAlignment="1">
      <alignment horizontal="center"/>
    </xf>
    <xf numFmtId="3" fontId="11" fillId="0" borderId="7" xfId="0" applyNumberFormat="1" applyFont="1" applyBorder="1" applyAlignment="1">
      <alignment horizontal="left"/>
    </xf>
    <xf numFmtId="0" fontId="12" fillId="0" borderId="7" xfId="0" applyFont="1"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9" fillId="8" borderId="3" xfId="0" applyFont="1" applyFill="1" applyBorder="1" applyAlignment="1">
      <alignment horizontal="left" wrapText="1"/>
    </xf>
    <xf numFmtId="0" fontId="15" fillId="0" borderId="7" xfId="0" applyFont="1" applyBorder="1" applyAlignment="1">
      <alignment horizontal="left" vertical="center" wrapText="1"/>
    </xf>
    <xf numFmtId="173" fontId="33" fillId="3" borderId="8" xfId="6" applyNumberFormat="1" applyFont="1" applyFill="1" applyBorder="1" applyAlignment="1">
      <alignment horizontal="center" vertical="top" wrapText="1"/>
    </xf>
    <xf numFmtId="173" fontId="33" fillId="3" borderId="9" xfId="6" applyNumberFormat="1" applyFont="1" applyFill="1" applyBorder="1" applyAlignment="1">
      <alignment horizontal="center" vertical="top" wrapText="1"/>
    </xf>
    <xf numFmtId="173" fontId="33" fillId="3" borderId="10" xfId="6" applyNumberFormat="1" applyFont="1" applyFill="1" applyBorder="1" applyAlignment="1">
      <alignment horizontal="center" vertical="top" wrapText="1"/>
    </xf>
    <xf numFmtId="0" fontId="7" fillId="0" borderId="7" xfId="4" applyFont="1" applyBorder="1" applyAlignment="1">
      <alignment horizontal="left"/>
    </xf>
    <xf numFmtId="0" fontId="0" fillId="0" borderId="7" xfId="0" applyBorder="1" applyAlignment="1">
      <alignment horizontal="left" vertical="center" wrapText="1"/>
    </xf>
    <xf numFmtId="0" fontId="1" fillId="0" borderId="7" xfId="0" applyFont="1" applyBorder="1" applyAlignment="1">
      <alignment horizontal="left" vertical="center" wrapText="1"/>
    </xf>
    <xf numFmtId="0" fontId="1" fillId="0" borderId="50" xfId="0" applyFont="1" applyBorder="1" applyAlignment="1">
      <alignment horizontal="left" vertical="center"/>
    </xf>
    <xf numFmtId="0" fontId="1" fillId="0" borderId="0" xfId="0" applyFont="1" applyAlignment="1">
      <alignment horizontal="left" vertical="center"/>
    </xf>
    <xf numFmtId="0" fontId="37" fillId="20" borderId="0" xfId="9" applyFont="1" applyFill="1" applyAlignment="1">
      <alignment horizontal="right" vertical="center"/>
    </xf>
    <xf numFmtId="0" fontId="37" fillId="20" borderId="52" xfId="9" applyFont="1" applyFill="1" applyBorder="1" applyAlignment="1">
      <alignment horizontal="right" vertical="center"/>
    </xf>
    <xf numFmtId="0" fontId="47" fillId="20" borderId="0" xfId="8" applyFont="1" applyFill="1" applyAlignment="1">
      <alignment horizontal="left" vertical="center"/>
    </xf>
    <xf numFmtId="0" fontId="47" fillId="20" borderId="52" xfId="8" applyFont="1" applyFill="1" applyBorder="1" applyAlignment="1">
      <alignment horizontal="left" vertical="center"/>
    </xf>
    <xf numFmtId="0" fontId="23" fillId="20" borderId="52" xfId="9" applyFont="1" applyFill="1" applyBorder="1" applyAlignment="1">
      <alignment horizontal="right" vertical="center"/>
    </xf>
  </cellXfs>
  <cellStyles count="12">
    <cellStyle name="Comma" xfId="1" builtinId="3"/>
    <cellStyle name="Comma 2" xfId="5" xr:uid="{88DA56AC-5B33-4A23-BB4D-BE48E27CB29F}"/>
    <cellStyle name="Comma 2 2" xfId="6" xr:uid="{161BAD68-019E-4696-B9F9-F1E7F1AAE6EE}"/>
    <cellStyle name="Heading 1" xfId="3" builtinId="16"/>
    <cellStyle name="Normal" xfId="0" builtinId="0"/>
    <cellStyle name="Normal 2" xfId="4" xr:uid="{5611A7CF-4C9D-438C-A59E-CB529D8DB300}"/>
    <cellStyle name="Normal 2 2" xfId="9" xr:uid="{15BD04B9-0466-4DC2-BB97-BE630350D9B6}"/>
    <cellStyle name="Normal 3" xfId="8" xr:uid="{4CC9F793-AECA-4FAF-894C-35D50D1E63F5}"/>
    <cellStyle name="Percent" xfId="2" builtinId="5"/>
    <cellStyle name="Percent 2" xfId="10" xr:uid="{390C81E2-9864-4A95-A357-D16A73868DF6}"/>
    <cellStyle name="Percent 2 2" xfId="7" xr:uid="{8E692BB6-4AD5-441F-8CE9-2ED878542E88}"/>
    <cellStyle name="Percent 3" xfId="11" xr:uid="{446B902A-6817-44C5-8603-57D28A10E9E4}"/>
  </cellStyles>
  <dxfs count="66">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006100"/>
      </font>
      <fill>
        <patternFill>
          <bgColor rgb="FFC6EF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006100"/>
      </font>
      <fill>
        <patternFill>
          <bgColor rgb="FFC6EF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2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2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Quarterly</a:t>
            </a:r>
            <a:r>
              <a:rPr lang="en-US" baseline="0"/>
              <a:t> Revenues (first two years)</a:t>
            </a:r>
            <a:endParaRPr lang="en-US"/>
          </a:p>
        </c:rich>
      </c:tx>
      <c:overlay val="0"/>
    </c:title>
    <c:autoTitleDeleted val="0"/>
    <c:plotArea>
      <c:layout>
        <c:manualLayout>
          <c:layoutTarget val="inner"/>
          <c:xMode val="edge"/>
          <c:yMode val="edge"/>
          <c:x val="0.16663949209738615"/>
          <c:y val="0.20905608022930702"/>
          <c:w val="0.78595611141827615"/>
          <c:h val="0.54722728898216422"/>
        </c:manualLayout>
      </c:layout>
      <c:scatterChart>
        <c:scatterStyle val="lineMarker"/>
        <c:varyColors val="0"/>
        <c:ser>
          <c:idx val="0"/>
          <c:order val="0"/>
          <c:tx>
            <c:strRef>
              <c:f>Operations!$C$62</c:f>
              <c:strCache>
                <c:ptCount val="1"/>
                <c:pt idx="0">
                  <c:v>Europe</c:v>
                </c:pt>
              </c:strCache>
            </c:strRef>
          </c:tx>
          <c:xVal>
            <c:numRef>
              <c:f>Operations!$D$61:$K$61</c:f>
            </c:numRef>
          </c:xVal>
          <c:yVal>
            <c:numRef>
              <c:f>Operations!$D$62:$K$62</c:f>
            </c:numRef>
          </c:yVal>
          <c:smooth val="0"/>
          <c:extLst>
            <c:ext xmlns:c16="http://schemas.microsoft.com/office/drawing/2014/chart" uri="{C3380CC4-5D6E-409C-BE32-E72D297353CC}">
              <c16:uniqueId val="{00000000-6B55-43D1-A8F4-1893122F6292}"/>
            </c:ext>
          </c:extLst>
        </c:ser>
        <c:ser>
          <c:idx val="1"/>
          <c:order val="1"/>
          <c:tx>
            <c:strRef>
              <c:f>Operations!$C$63</c:f>
              <c:strCache>
                <c:ptCount val="1"/>
                <c:pt idx="0">
                  <c:v>USA &amp; Canada</c:v>
                </c:pt>
              </c:strCache>
            </c:strRef>
          </c:tx>
          <c:xVal>
            <c:numRef>
              <c:f>Operations!$D$61:$K$61</c:f>
            </c:numRef>
          </c:xVal>
          <c:yVal>
            <c:numRef>
              <c:f>Operations!$D$63:$K$63</c:f>
            </c:numRef>
          </c:yVal>
          <c:smooth val="0"/>
          <c:extLst>
            <c:ext xmlns:c16="http://schemas.microsoft.com/office/drawing/2014/chart" uri="{C3380CC4-5D6E-409C-BE32-E72D297353CC}">
              <c16:uniqueId val="{00000001-6B55-43D1-A8F4-1893122F6292}"/>
            </c:ext>
          </c:extLst>
        </c:ser>
        <c:ser>
          <c:idx val="2"/>
          <c:order val="2"/>
          <c:tx>
            <c:strRef>
              <c:f>Operations!$C$64</c:f>
              <c:strCache>
                <c:ptCount val="1"/>
                <c:pt idx="0">
                  <c:v>Market 3</c:v>
                </c:pt>
              </c:strCache>
            </c:strRef>
          </c:tx>
          <c:xVal>
            <c:numRef>
              <c:f>Operations!$D$61:$K$61</c:f>
            </c:numRef>
          </c:xVal>
          <c:yVal>
            <c:numRef>
              <c:f>Operations!$D$64:$K$64</c:f>
            </c:numRef>
          </c:yVal>
          <c:smooth val="0"/>
          <c:extLst>
            <c:ext xmlns:c16="http://schemas.microsoft.com/office/drawing/2014/chart" uri="{C3380CC4-5D6E-409C-BE32-E72D297353CC}">
              <c16:uniqueId val="{00000002-6B55-43D1-A8F4-1893122F6292}"/>
            </c:ext>
          </c:extLst>
        </c:ser>
        <c:dLbls>
          <c:showLegendKey val="0"/>
          <c:showVal val="0"/>
          <c:showCatName val="0"/>
          <c:showSerName val="0"/>
          <c:showPercent val="0"/>
          <c:showBubbleSize val="0"/>
        </c:dLbls>
        <c:axId val="215385520"/>
        <c:axId val="215386080"/>
      </c:scatterChart>
      <c:valAx>
        <c:axId val="215385520"/>
        <c:scaling>
          <c:orientation val="minMax"/>
        </c:scaling>
        <c:delete val="0"/>
        <c:axPos val="b"/>
        <c:title>
          <c:tx>
            <c:rich>
              <a:bodyPr/>
              <a:lstStyle/>
              <a:p>
                <a:pPr>
                  <a:defRPr/>
                </a:pPr>
                <a:r>
                  <a:rPr lang="en-US"/>
                  <a:t>Quarters</a:t>
                </a:r>
              </a:p>
            </c:rich>
          </c:tx>
          <c:overlay val="0"/>
        </c:title>
        <c:numFmt formatCode="mmm\ yyyy" sourceLinked="1"/>
        <c:majorTickMark val="out"/>
        <c:minorTickMark val="none"/>
        <c:tickLblPos val="nextTo"/>
        <c:crossAx val="215386080"/>
        <c:crosses val="autoZero"/>
        <c:crossBetween val="midCat"/>
      </c:valAx>
      <c:valAx>
        <c:axId val="215386080"/>
        <c:scaling>
          <c:orientation val="minMax"/>
        </c:scaling>
        <c:delete val="0"/>
        <c:axPos val="l"/>
        <c:majorGridlines/>
        <c:title>
          <c:tx>
            <c:rich>
              <a:bodyPr/>
              <a:lstStyle/>
              <a:p>
                <a:pPr>
                  <a:defRPr/>
                </a:pPr>
                <a:r>
                  <a:rPr lang="en-US"/>
                  <a:t>Revenues (In thousands)</a:t>
                </a:r>
              </a:p>
            </c:rich>
          </c:tx>
          <c:overlay val="0"/>
        </c:title>
        <c:numFmt formatCode="#,##0" sourceLinked="0"/>
        <c:majorTickMark val="out"/>
        <c:minorTickMark val="none"/>
        <c:tickLblPos val="nextTo"/>
        <c:crossAx val="215385520"/>
        <c:crosses val="autoZero"/>
        <c:crossBetween val="midCat"/>
        <c:dispUnits>
          <c:builtInUnit val="thousands"/>
        </c:dispUnits>
      </c:valAx>
    </c:plotArea>
    <c:legend>
      <c:legendPos val="b"/>
      <c:layout>
        <c:manualLayout>
          <c:xMode val="edge"/>
          <c:yMode val="edge"/>
          <c:x val="0.29670712539852678"/>
          <c:y val="0.91026501659088888"/>
          <c:w val="0.40658574920294643"/>
          <c:h val="8.9734983409111152E-2"/>
        </c:manualLayout>
      </c:layout>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Annual Revenues by Product</a:t>
            </a:r>
          </a:p>
        </c:rich>
      </c:tx>
      <c:overlay val="0"/>
    </c:title>
    <c:autoTitleDeleted val="0"/>
    <c:plotArea>
      <c:layout/>
      <c:scatterChart>
        <c:scatterStyle val="lineMarker"/>
        <c:varyColors val="0"/>
        <c:ser>
          <c:idx val="0"/>
          <c:order val="0"/>
          <c:tx>
            <c:strRef>
              <c:f>Operations!$S$45</c:f>
              <c:strCache>
                <c:ptCount val="1"/>
                <c:pt idx="0">
                  <c:v>Europe</c:v>
                </c:pt>
              </c:strCache>
            </c:strRef>
          </c:tx>
          <c:xVal>
            <c:numRef>
              <c:f>Operations!$T$44:$Y$44</c:f>
            </c:numRef>
          </c:xVal>
          <c:yVal>
            <c:numRef>
              <c:f>Operations!$T$45:$Y$45</c:f>
            </c:numRef>
          </c:yVal>
          <c:smooth val="0"/>
          <c:extLst>
            <c:ext xmlns:c16="http://schemas.microsoft.com/office/drawing/2014/chart" uri="{C3380CC4-5D6E-409C-BE32-E72D297353CC}">
              <c16:uniqueId val="{00000000-9776-4256-9EA1-9721690007BC}"/>
            </c:ext>
          </c:extLst>
        </c:ser>
        <c:ser>
          <c:idx val="1"/>
          <c:order val="1"/>
          <c:tx>
            <c:strRef>
              <c:f>Operations!$S$46</c:f>
              <c:strCache>
                <c:ptCount val="1"/>
                <c:pt idx="0">
                  <c:v>USA &amp; Canada</c:v>
                </c:pt>
              </c:strCache>
            </c:strRef>
          </c:tx>
          <c:xVal>
            <c:numRef>
              <c:f>Operations!$T$44:$Y$44</c:f>
            </c:numRef>
          </c:xVal>
          <c:yVal>
            <c:numRef>
              <c:f>Operations!$T$46:$Y$46</c:f>
            </c:numRef>
          </c:yVal>
          <c:smooth val="0"/>
          <c:extLst>
            <c:ext xmlns:c16="http://schemas.microsoft.com/office/drawing/2014/chart" uri="{C3380CC4-5D6E-409C-BE32-E72D297353CC}">
              <c16:uniqueId val="{00000001-9776-4256-9EA1-9721690007BC}"/>
            </c:ext>
          </c:extLst>
        </c:ser>
        <c:ser>
          <c:idx val="2"/>
          <c:order val="2"/>
          <c:tx>
            <c:strRef>
              <c:f>Operations!$S$47</c:f>
              <c:strCache>
                <c:ptCount val="1"/>
                <c:pt idx="0">
                  <c:v>Market 3</c:v>
                </c:pt>
              </c:strCache>
            </c:strRef>
          </c:tx>
          <c:xVal>
            <c:numRef>
              <c:f>Operations!$T$44:$Y$44</c:f>
            </c:numRef>
          </c:xVal>
          <c:yVal>
            <c:numRef>
              <c:f>Operations!$T$47:$Y$47</c:f>
            </c:numRef>
          </c:yVal>
          <c:smooth val="0"/>
          <c:extLst>
            <c:ext xmlns:c16="http://schemas.microsoft.com/office/drawing/2014/chart" uri="{C3380CC4-5D6E-409C-BE32-E72D297353CC}">
              <c16:uniqueId val="{00000002-9776-4256-9EA1-9721690007BC}"/>
            </c:ext>
          </c:extLst>
        </c:ser>
        <c:dLbls>
          <c:showLegendKey val="0"/>
          <c:showVal val="0"/>
          <c:showCatName val="0"/>
          <c:showSerName val="0"/>
          <c:showPercent val="0"/>
          <c:showBubbleSize val="0"/>
        </c:dLbls>
        <c:axId val="215390000"/>
        <c:axId val="215390560"/>
      </c:scatterChart>
      <c:valAx>
        <c:axId val="215390000"/>
        <c:scaling>
          <c:orientation val="minMax"/>
        </c:scaling>
        <c:delete val="0"/>
        <c:axPos val="b"/>
        <c:numFmt formatCode="mmm\ yyyy" sourceLinked="1"/>
        <c:majorTickMark val="out"/>
        <c:minorTickMark val="none"/>
        <c:tickLblPos val="nextTo"/>
        <c:crossAx val="215390560"/>
        <c:crosses val="autoZero"/>
        <c:crossBetween val="midCat"/>
      </c:valAx>
      <c:valAx>
        <c:axId val="215390560"/>
        <c:scaling>
          <c:orientation val="minMax"/>
        </c:scaling>
        <c:delete val="0"/>
        <c:axPos val="l"/>
        <c:majorGridlines/>
        <c:title>
          <c:tx>
            <c:rich>
              <a:bodyPr rot="-5400000" vert="horz"/>
              <a:lstStyle/>
              <a:p>
                <a:pPr>
                  <a:defRPr/>
                </a:pPr>
                <a:r>
                  <a:rPr lang="en-US"/>
                  <a:t>Revenues (EUR)</a:t>
                </a:r>
              </a:p>
            </c:rich>
          </c:tx>
          <c:overlay val="0"/>
        </c:title>
        <c:numFmt formatCode="#,##0" sourceLinked="0"/>
        <c:majorTickMark val="out"/>
        <c:minorTickMark val="none"/>
        <c:tickLblPos val="nextTo"/>
        <c:crossAx val="215390000"/>
        <c:crosses val="autoZero"/>
        <c:crossBetween val="midCat"/>
        <c:dispUnits>
          <c:builtInUnit val="thousands"/>
          <c:dispUnitsLbl/>
        </c:dispUnits>
      </c:valAx>
    </c:plotArea>
    <c:legend>
      <c:legendPos val="b"/>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Quarterly Revenues (first two years)</a:t>
            </a:r>
          </a:p>
        </c:rich>
      </c:tx>
      <c:overlay val="0"/>
    </c:title>
    <c:autoTitleDeleted val="0"/>
    <c:plotArea>
      <c:layout/>
      <c:scatterChart>
        <c:scatterStyle val="lineMarker"/>
        <c:varyColors val="0"/>
        <c:ser>
          <c:idx val="0"/>
          <c:order val="0"/>
          <c:tx>
            <c:strRef>
              <c:f>Operations!$C$92</c:f>
              <c:strCache>
                <c:ptCount val="1"/>
                <c:pt idx="0">
                  <c:v>Free Tier</c:v>
                </c:pt>
              </c:strCache>
            </c:strRef>
          </c:tx>
          <c:xVal>
            <c:numRef>
              <c:f>Operations!$D$91:$K$91</c:f>
            </c:numRef>
          </c:xVal>
          <c:yVal>
            <c:numRef>
              <c:f>Operations!$D$92:$K$92</c:f>
            </c:numRef>
          </c:yVal>
          <c:smooth val="0"/>
          <c:extLst>
            <c:ext xmlns:c16="http://schemas.microsoft.com/office/drawing/2014/chart" uri="{C3380CC4-5D6E-409C-BE32-E72D297353CC}">
              <c16:uniqueId val="{00000000-2D80-4236-9D00-90C3BC49615F}"/>
            </c:ext>
          </c:extLst>
        </c:ser>
        <c:ser>
          <c:idx val="1"/>
          <c:order val="1"/>
          <c:tx>
            <c:strRef>
              <c:f>Operations!$C$93</c:f>
              <c:strCache>
                <c:ptCount val="1"/>
                <c:pt idx="0">
                  <c:v>Professional</c:v>
                </c:pt>
              </c:strCache>
            </c:strRef>
          </c:tx>
          <c:xVal>
            <c:numRef>
              <c:f>Operations!$D$91:$K$91</c:f>
            </c:numRef>
          </c:xVal>
          <c:yVal>
            <c:numRef>
              <c:f>Operations!$D$93:$K$93</c:f>
            </c:numRef>
          </c:yVal>
          <c:smooth val="0"/>
          <c:extLst>
            <c:ext xmlns:c16="http://schemas.microsoft.com/office/drawing/2014/chart" uri="{C3380CC4-5D6E-409C-BE32-E72D297353CC}">
              <c16:uniqueId val="{00000001-2D80-4236-9D00-90C3BC49615F}"/>
            </c:ext>
          </c:extLst>
        </c:ser>
        <c:ser>
          <c:idx val="2"/>
          <c:order val="2"/>
          <c:tx>
            <c:strRef>
              <c:f>Operations!$C$94</c:f>
              <c:strCache>
                <c:ptCount val="1"/>
                <c:pt idx="0">
                  <c:v>Premium</c:v>
                </c:pt>
              </c:strCache>
            </c:strRef>
          </c:tx>
          <c:xVal>
            <c:numRef>
              <c:f>Operations!$D$91:$K$91</c:f>
            </c:numRef>
          </c:xVal>
          <c:yVal>
            <c:numRef>
              <c:f>Operations!$D$94:$K$94</c:f>
            </c:numRef>
          </c:yVal>
          <c:smooth val="0"/>
          <c:extLst>
            <c:ext xmlns:c16="http://schemas.microsoft.com/office/drawing/2014/chart" uri="{C3380CC4-5D6E-409C-BE32-E72D297353CC}">
              <c16:uniqueId val="{00000002-2D80-4236-9D00-90C3BC49615F}"/>
            </c:ext>
          </c:extLst>
        </c:ser>
        <c:dLbls>
          <c:showLegendKey val="0"/>
          <c:showVal val="0"/>
          <c:showCatName val="0"/>
          <c:showSerName val="0"/>
          <c:showPercent val="0"/>
          <c:showBubbleSize val="0"/>
        </c:dLbls>
        <c:axId val="215394480"/>
        <c:axId val="215395040"/>
      </c:scatterChart>
      <c:valAx>
        <c:axId val="215394480"/>
        <c:scaling>
          <c:orientation val="minMax"/>
        </c:scaling>
        <c:delete val="0"/>
        <c:axPos val="b"/>
        <c:numFmt formatCode="mmm\ yyyy" sourceLinked="1"/>
        <c:majorTickMark val="out"/>
        <c:minorTickMark val="none"/>
        <c:tickLblPos val="nextTo"/>
        <c:crossAx val="215395040"/>
        <c:crosses val="autoZero"/>
        <c:crossBetween val="midCat"/>
      </c:valAx>
      <c:valAx>
        <c:axId val="215395040"/>
        <c:scaling>
          <c:orientation val="minMax"/>
        </c:scaling>
        <c:delete val="0"/>
        <c:axPos val="l"/>
        <c:majorGridlines/>
        <c:title>
          <c:tx>
            <c:rich>
              <a:bodyPr rot="-5400000" vert="horz"/>
              <a:lstStyle/>
              <a:p>
                <a:pPr>
                  <a:defRPr/>
                </a:pPr>
                <a:r>
                  <a:rPr lang="en-US"/>
                  <a:t>Revenues (EUR)</a:t>
                </a:r>
              </a:p>
            </c:rich>
          </c:tx>
          <c:overlay val="0"/>
        </c:title>
        <c:numFmt formatCode="#,##0" sourceLinked="0"/>
        <c:majorTickMark val="out"/>
        <c:minorTickMark val="none"/>
        <c:tickLblPos val="nextTo"/>
        <c:crossAx val="215394480"/>
        <c:crosses val="autoZero"/>
        <c:crossBetween val="midCat"/>
        <c:dispUnits>
          <c:builtInUnit val="thousands"/>
          <c:dispUnitsLbl/>
        </c:dispUnits>
      </c:valAx>
    </c:plotArea>
    <c:legend>
      <c:legendPos val="b"/>
      <c:overlay val="0"/>
    </c:legend>
    <c:plotVisOnly val="1"/>
    <c:dispBlanksAs val="zero"/>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Annual Revenues by Product</a:t>
            </a:r>
          </a:p>
        </c:rich>
      </c:tx>
      <c:overlay val="0"/>
    </c:title>
    <c:autoTitleDeleted val="0"/>
    <c:plotArea>
      <c:layout/>
      <c:scatterChart>
        <c:scatterStyle val="lineMarker"/>
        <c:varyColors val="0"/>
        <c:ser>
          <c:idx val="0"/>
          <c:order val="0"/>
          <c:tx>
            <c:strRef>
              <c:f>Operations!$S$92</c:f>
              <c:strCache>
                <c:ptCount val="1"/>
                <c:pt idx="0">
                  <c:v>Free Tier</c:v>
                </c:pt>
              </c:strCache>
            </c:strRef>
          </c:tx>
          <c:xVal>
            <c:numRef>
              <c:f>Operations!$T$91:$Y$91</c:f>
            </c:numRef>
          </c:xVal>
          <c:yVal>
            <c:numRef>
              <c:f>Operations!$T$92:$Y$92</c:f>
            </c:numRef>
          </c:yVal>
          <c:smooth val="0"/>
          <c:extLst>
            <c:ext xmlns:c16="http://schemas.microsoft.com/office/drawing/2014/chart" uri="{C3380CC4-5D6E-409C-BE32-E72D297353CC}">
              <c16:uniqueId val="{00000000-7F89-449E-BFF2-3AAC1EFF09EB}"/>
            </c:ext>
          </c:extLst>
        </c:ser>
        <c:ser>
          <c:idx val="1"/>
          <c:order val="1"/>
          <c:tx>
            <c:strRef>
              <c:f>Operations!$S$93</c:f>
              <c:strCache>
                <c:ptCount val="1"/>
                <c:pt idx="0">
                  <c:v>Professional</c:v>
                </c:pt>
              </c:strCache>
            </c:strRef>
          </c:tx>
          <c:xVal>
            <c:numRef>
              <c:f>Operations!$T$91:$Y$91</c:f>
            </c:numRef>
          </c:xVal>
          <c:yVal>
            <c:numRef>
              <c:f>Operations!$T$93:$Y$93</c:f>
            </c:numRef>
          </c:yVal>
          <c:smooth val="0"/>
          <c:extLst>
            <c:ext xmlns:c16="http://schemas.microsoft.com/office/drawing/2014/chart" uri="{C3380CC4-5D6E-409C-BE32-E72D297353CC}">
              <c16:uniqueId val="{00000001-7F89-449E-BFF2-3AAC1EFF09EB}"/>
            </c:ext>
          </c:extLst>
        </c:ser>
        <c:ser>
          <c:idx val="2"/>
          <c:order val="2"/>
          <c:tx>
            <c:strRef>
              <c:f>Operations!$S$94</c:f>
              <c:strCache>
                <c:ptCount val="1"/>
                <c:pt idx="0">
                  <c:v>Premium</c:v>
                </c:pt>
              </c:strCache>
            </c:strRef>
          </c:tx>
          <c:xVal>
            <c:numRef>
              <c:f>Operations!$T$91:$Y$91</c:f>
            </c:numRef>
          </c:xVal>
          <c:yVal>
            <c:numRef>
              <c:f>Operations!$T$94:$Y$94</c:f>
            </c:numRef>
          </c:yVal>
          <c:smooth val="0"/>
          <c:extLst>
            <c:ext xmlns:c16="http://schemas.microsoft.com/office/drawing/2014/chart" uri="{C3380CC4-5D6E-409C-BE32-E72D297353CC}">
              <c16:uniqueId val="{00000002-7F89-449E-BFF2-3AAC1EFF09EB}"/>
            </c:ext>
          </c:extLst>
        </c:ser>
        <c:dLbls>
          <c:showLegendKey val="0"/>
          <c:showVal val="0"/>
          <c:showCatName val="0"/>
          <c:showSerName val="0"/>
          <c:showPercent val="0"/>
          <c:showBubbleSize val="0"/>
        </c:dLbls>
        <c:axId val="217011440"/>
        <c:axId val="217012000"/>
      </c:scatterChart>
      <c:valAx>
        <c:axId val="217011440"/>
        <c:scaling>
          <c:orientation val="minMax"/>
        </c:scaling>
        <c:delete val="0"/>
        <c:axPos val="b"/>
        <c:numFmt formatCode="mmm\ yyyy" sourceLinked="1"/>
        <c:majorTickMark val="out"/>
        <c:minorTickMark val="none"/>
        <c:tickLblPos val="nextTo"/>
        <c:crossAx val="217012000"/>
        <c:crosses val="autoZero"/>
        <c:crossBetween val="midCat"/>
      </c:valAx>
      <c:valAx>
        <c:axId val="217012000"/>
        <c:scaling>
          <c:orientation val="minMax"/>
        </c:scaling>
        <c:delete val="0"/>
        <c:axPos val="l"/>
        <c:majorGridlines/>
        <c:title>
          <c:tx>
            <c:rich>
              <a:bodyPr rot="-5400000" vert="horz"/>
              <a:lstStyle/>
              <a:p>
                <a:pPr>
                  <a:defRPr/>
                </a:pPr>
                <a:r>
                  <a:rPr lang="en-US"/>
                  <a:t>Revenues (EUR)</a:t>
                </a:r>
              </a:p>
            </c:rich>
          </c:tx>
          <c:overlay val="0"/>
        </c:title>
        <c:numFmt formatCode="#,##0" sourceLinked="0"/>
        <c:majorTickMark val="out"/>
        <c:minorTickMark val="none"/>
        <c:tickLblPos val="nextTo"/>
        <c:crossAx val="217011440"/>
        <c:crosses val="autoZero"/>
        <c:crossBetween val="midCat"/>
        <c:dispUnits>
          <c:builtInUnit val="thousands"/>
          <c:dispUnitsLbl/>
        </c:dispUnits>
      </c:valAx>
    </c:plotArea>
    <c:legend>
      <c:legendPos val="b"/>
      <c:overlay val="0"/>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Quarterly Revenues (first two years)</a:t>
            </a:r>
          </a:p>
        </c:rich>
      </c:tx>
      <c:overlay val="0"/>
    </c:title>
    <c:autoTitleDeleted val="0"/>
    <c:plotArea>
      <c:layout/>
      <c:scatterChart>
        <c:scatterStyle val="lineMarker"/>
        <c:varyColors val="0"/>
        <c:ser>
          <c:idx val="0"/>
          <c:order val="0"/>
          <c:tx>
            <c:strRef>
              <c:f>Operations!$C$133</c:f>
              <c:strCache>
                <c:ptCount val="1"/>
                <c:pt idx="0">
                  <c:v>Free Tier</c:v>
                </c:pt>
              </c:strCache>
            </c:strRef>
          </c:tx>
          <c:xVal>
            <c:numRef>
              <c:f>Operations!$D$132:$K$132</c:f>
            </c:numRef>
          </c:xVal>
          <c:yVal>
            <c:numRef>
              <c:f>Operations!$D$133:$K$133</c:f>
            </c:numRef>
          </c:yVal>
          <c:smooth val="0"/>
          <c:extLst>
            <c:ext xmlns:c16="http://schemas.microsoft.com/office/drawing/2014/chart" uri="{C3380CC4-5D6E-409C-BE32-E72D297353CC}">
              <c16:uniqueId val="{00000000-211C-4E64-ACA7-02B79815D80F}"/>
            </c:ext>
          </c:extLst>
        </c:ser>
        <c:ser>
          <c:idx val="1"/>
          <c:order val="1"/>
          <c:tx>
            <c:strRef>
              <c:f>Operations!$C$134</c:f>
              <c:strCache>
                <c:ptCount val="1"/>
                <c:pt idx="0">
                  <c:v>Professional</c:v>
                </c:pt>
              </c:strCache>
            </c:strRef>
          </c:tx>
          <c:xVal>
            <c:numRef>
              <c:f>Operations!$D$132:$K$132</c:f>
            </c:numRef>
          </c:xVal>
          <c:yVal>
            <c:numRef>
              <c:f>Operations!$D$134:$K$134</c:f>
            </c:numRef>
          </c:yVal>
          <c:smooth val="0"/>
          <c:extLst>
            <c:ext xmlns:c16="http://schemas.microsoft.com/office/drawing/2014/chart" uri="{C3380CC4-5D6E-409C-BE32-E72D297353CC}">
              <c16:uniqueId val="{00000001-211C-4E64-ACA7-02B79815D80F}"/>
            </c:ext>
          </c:extLst>
        </c:ser>
        <c:ser>
          <c:idx val="2"/>
          <c:order val="2"/>
          <c:tx>
            <c:strRef>
              <c:f>Operations!$C$135</c:f>
              <c:strCache>
                <c:ptCount val="1"/>
                <c:pt idx="0">
                  <c:v>Premium</c:v>
                </c:pt>
              </c:strCache>
            </c:strRef>
          </c:tx>
          <c:xVal>
            <c:numRef>
              <c:f>Operations!$D$132:$K$132</c:f>
            </c:numRef>
          </c:xVal>
          <c:yVal>
            <c:numRef>
              <c:f>Operations!$D$135:$K$135</c:f>
            </c:numRef>
          </c:yVal>
          <c:smooth val="0"/>
          <c:extLst>
            <c:ext xmlns:c16="http://schemas.microsoft.com/office/drawing/2014/chart" uri="{C3380CC4-5D6E-409C-BE32-E72D297353CC}">
              <c16:uniqueId val="{00000002-211C-4E64-ACA7-02B79815D80F}"/>
            </c:ext>
          </c:extLst>
        </c:ser>
        <c:dLbls>
          <c:showLegendKey val="0"/>
          <c:showVal val="0"/>
          <c:showCatName val="0"/>
          <c:showSerName val="0"/>
          <c:showPercent val="0"/>
          <c:showBubbleSize val="0"/>
        </c:dLbls>
        <c:axId val="217015920"/>
        <c:axId val="217016480"/>
      </c:scatterChart>
      <c:valAx>
        <c:axId val="217015920"/>
        <c:scaling>
          <c:orientation val="minMax"/>
        </c:scaling>
        <c:delete val="0"/>
        <c:axPos val="b"/>
        <c:numFmt formatCode="mmm\ yyyy" sourceLinked="1"/>
        <c:majorTickMark val="out"/>
        <c:minorTickMark val="none"/>
        <c:tickLblPos val="nextTo"/>
        <c:crossAx val="217016480"/>
        <c:crosses val="autoZero"/>
        <c:crossBetween val="midCat"/>
      </c:valAx>
      <c:valAx>
        <c:axId val="217016480"/>
        <c:scaling>
          <c:orientation val="minMax"/>
        </c:scaling>
        <c:delete val="0"/>
        <c:axPos val="l"/>
        <c:majorGridlines/>
        <c:title>
          <c:tx>
            <c:rich>
              <a:bodyPr rot="-5400000" vert="horz"/>
              <a:lstStyle/>
              <a:p>
                <a:pPr>
                  <a:defRPr/>
                </a:pPr>
                <a:r>
                  <a:rPr lang="en-US"/>
                  <a:t>Revenues(EUR)</a:t>
                </a:r>
              </a:p>
            </c:rich>
          </c:tx>
          <c:layout>
            <c:manualLayout>
              <c:xMode val="edge"/>
              <c:yMode val="edge"/>
              <c:x val="3.0555555555555555E-2"/>
              <c:y val="0.26839883373780049"/>
            </c:manualLayout>
          </c:layout>
          <c:overlay val="0"/>
        </c:title>
        <c:numFmt formatCode="#,##0" sourceLinked="0"/>
        <c:majorTickMark val="out"/>
        <c:minorTickMark val="none"/>
        <c:tickLblPos val="nextTo"/>
        <c:crossAx val="217015920"/>
        <c:crosses val="autoZero"/>
        <c:crossBetween val="midCat"/>
        <c:dispUnits>
          <c:builtInUnit val="thousands"/>
          <c:dispUnitsLbl/>
        </c:dispUnits>
      </c:valAx>
    </c:plotArea>
    <c:legend>
      <c:legendPos val="b"/>
      <c:overlay val="0"/>
    </c:legend>
    <c:plotVisOnly val="1"/>
    <c:dispBlanksAs val="zero"/>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Annual Revenues by Product</a:t>
            </a:r>
          </a:p>
          <a:p>
            <a:pPr>
              <a:defRPr/>
            </a:pPr>
            <a:r>
              <a:rPr lang="en-US"/>
              <a:t>(2020-2025)</a:t>
            </a:r>
          </a:p>
        </c:rich>
      </c:tx>
      <c:overlay val="0"/>
    </c:title>
    <c:autoTitleDeleted val="0"/>
    <c:plotArea>
      <c:layout/>
      <c:scatterChart>
        <c:scatterStyle val="lineMarker"/>
        <c:varyColors val="0"/>
        <c:ser>
          <c:idx val="0"/>
          <c:order val="0"/>
          <c:tx>
            <c:strRef>
              <c:f>Operations!$S$144</c:f>
              <c:strCache>
                <c:ptCount val="1"/>
                <c:pt idx="0">
                  <c:v>Free Tier</c:v>
                </c:pt>
              </c:strCache>
            </c:strRef>
          </c:tx>
          <c:xVal>
            <c:numRef>
              <c:f>Operations!$T$143:$Y$143</c:f>
            </c:numRef>
          </c:xVal>
          <c:yVal>
            <c:numRef>
              <c:f>Operations!$T$144:$Y$144</c:f>
            </c:numRef>
          </c:yVal>
          <c:smooth val="0"/>
          <c:extLst>
            <c:ext xmlns:c16="http://schemas.microsoft.com/office/drawing/2014/chart" uri="{C3380CC4-5D6E-409C-BE32-E72D297353CC}">
              <c16:uniqueId val="{00000000-50A2-460C-B91B-2C0083782C02}"/>
            </c:ext>
          </c:extLst>
        </c:ser>
        <c:ser>
          <c:idx val="1"/>
          <c:order val="1"/>
          <c:tx>
            <c:strRef>
              <c:f>Operations!$S$145</c:f>
              <c:strCache>
                <c:ptCount val="1"/>
                <c:pt idx="0">
                  <c:v>Professional</c:v>
                </c:pt>
              </c:strCache>
            </c:strRef>
          </c:tx>
          <c:xVal>
            <c:numRef>
              <c:f>Operations!$T$143:$Y$143</c:f>
            </c:numRef>
          </c:xVal>
          <c:yVal>
            <c:numRef>
              <c:f>Operations!$T$145:$Y$145</c:f>
            </c:numRef>
          </c:yVal>
          <c:smooth val="0"/>
          <c:extLst>
            <c:ext xmlns:c16="http://schemas.microsoft.com/office/drawing/2014/chart" uri="{C3380CC4-5D6E-409C-BE32-E72D297353CC}">
              <c16:uniqueId val="{00000001-50A2-460C-B91B-2C0083782C02}"/>
            </c:ext>
          </c:extLst>
        </c:ser>
        <c:ser>
          <c:idx val="2"/>
          <c:order val="2"/>
          <c:tx>
            <c:strRef>
              <c:f>Operations!$S$146</c:f>
              <c:strCache>
                <c:ptCount val="1"/>
                <c:pt idx="0">
                  <c:v>Premium</c:v>
                </c:pt>
              </c:strCache>
            </c:strRef>
          </c:tx>
          <c:xVal>
            <c:numRef>
              <c:f>Operations!$T$143:$Y$143</c:f>
            </c:numRef>
          </c:xVal>
          <c:yVal>
            <c:numRef>
              <c:f>Operations!$T$146:$Y$146</c:f>
            </c:numRef>
          </c:yVal>
          <c:smooth val="0"/>
          <c:extLst>
            <c:ext xmlns:c16="http://schemas.microsoft.com/office/drawing/2014/chart" uri="{C3380CC4-5D6E-409C-BE32-E72D297353CC}">
              <c16:uniqueId val="{00000002-50A2-460C-B91B-2C0083782C02}"/>
            </c:ext>
          </c:extLst>
        </c:ser>
        <c:dLbls>
          <c:showLegendKey val="0"/>
          <c:showVal val="0"/>
          <c:showCatName val="0"/>
          <c:showSerName val="0"/>
          <c:showPercent val="0"/>
          <c:showBubbleSize val="0"/>
        </c:dLbls>
        <c:axId val="217020400"/>
        <c:axId val="217020960"/>
      </c:scatterChart>
      <c:valAx>
        <c:axId val="217020400"/>
        <c:scaling>
          <c:orientation val="minMax"/>
        </c:scaling>
        <c:delete val="0"/>
        <c:axPos val="b"/>
        <c:numFmt formatCode="mmm\ yyyy" sourceLinked="1"/>
        <c:majorTickMark val="out"/>
        <c:minorTickMark val="none"/>
        <c:tickLblPos val="nextTo"/>
        <c:crossAx val="217020960"/>
        <c:crosses val="autoZero"/>
        <c:crossBetween val="midCat"/>
      </c:valAx>
      <c:valAx>
        <c:axId val="217020960"/>
        <c:scaling>
          <c:orientation val="minMax"/>
        </c:scaling>
        <c:delete val="0"/>
        <c:axPos val="l"/>
        <c:majorGridlines/>
        <c:title>
          <c:tx>
            <c:rich>
              <a:bodyPr rot="-5400000" vert="horz"/>
              <a:lstStyle/>
              <a:p>
                <a:pPr>
                  <a:defRPr/>
                </a:pPr>
                <a:r>
                  <a:rPr lang="en-US"/>
                  <a:t>Revenues (EUR)</a:t>
                </a:r>
              </a:p>
            </c:rich>
          </c:tx>
          <c:overlay val="0"/>
        </c:title>
        <c:numFmt formatCode="#,##0" sourceLinked="0"/>
        <c:majorTickMark val="out"/>
        <c:minorTickMark val="none"/>
        <c:tickLblPos val="nextTo"/>
        <c:crossAx val="217020400"/>
        <c:crosses val="autoZero"/>
        <c:crossBetween val="midCat"/>
        <c:dispUnits>
          <c:builtInUnit val="thousands"/>
          <c:dispUnitsLbl/>
        </c:dispUnits>
      </c:valAx>
    </c:plotArea>
    <c:legend>
      <c:legendPos val="b"/>
      <c:overlay val="0"/>
    </c:legend>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Quarterly</a:t>
            </a:r>
            <a:r>
              <a:rPr lang="en-GB" baseline="0"/>
              <a:t> COS - Top-down (first two years)</a:t>
            </a:r>
            <a:endParaRPr lang="en-GB"/>
          </a:p>
        </c:rich>
      </c:tx>
      <c:overlay val="0"/>
    </c:title>
    <c:autoTitleDeleted val="0"/>
    <c:plotArea>
      <c:layout>
        <c:manualLayout>
          <c:layoutTarget val="inner"/>
          <c:xMode val="edge"/>
          <c:yMode val="edge"/>
          <c:x val="0.1879171707310171"/>
          <c:y val="0.26883916409183034"/>
          <c:w val="0.71151862275908129"/>
          <c:h val="0.50982599026266751"/>
        </c:manualLayout>
      </c:layout>
      <c:scatterChart>
        <c:scatterStyle val="lineMarker"/>
        <c:varyColors val="0"/>
        <c:ser>
          <c:idx val="1"/>
          <c:order val="0"/>
          <c:tx>
            <c:strRef>
              <c:f>Operations!$C$186</c:f>
              <c:strCache>
                <c:ptCount val="1"/>
                <c:pt idx="0">
                  <c:v>Free Tier</c:v>
                </c:pt>
              </c:strCache>
            </c:strRef>
          </c:tx>
          <c:xVal>
            <c:numRef>
              <c:f>Operations!$D$185:$K$185</c:f>
            </c:numRef>
          </c:xVal>
          <c:yVal>
            <c:numRef>
              <c:f>Operations!$D$186:$K$186</c:f>
            </c:numRef>
          </c:yVal>
          <c:smooth val="0"/>
          <c:extLst>
            <c:ext xmlns:c16="http://schemas.microsoft.com/office/drawing/2014/chart" uri="{C3380CC4-5D6E-409C-BE32-E72D297353CC}">
              <c16:uniqueId val="{00000000-37A8-4833-B6CA-73306B363E65}"/>
            </c:ext>
          </c:extLst>
        </c:ser>
        <c:ser>
          <c:idx val="0"/>
          <c:order val="1"/>
          <c:tx>
            <c:strRef>
              <c:f>Operations!$C$187</c:f>
              <c:strCache>
                <c:ptCount val="1"/>
                <c:pt idx="0">
                  <c:v>Professional</c:v>
                </c:pt>
              </c:strCache>
            </c:strRef>
          </c:tx>
          <c:xVal>
            <c:numRef>
              <c:f>Operations!$D$185:$K$185</c:f>
            </c:numRef>
          </c:xVal>
          <c:yVal>
            <c:numRef>
              <c:f>Operations!$D$187:$K$187</c:f>
            </c:numRef>
          </c:yVal>
          <c:smooth val="0"/>
          <c:extLst>
            <c:ext xmlns:c16="http://schemas.microsoft.com/office/drawing/2014/chart" uri="{C3380CC4-5D6E-409C-BE32-E72D297353CC}">
              <c16:uniqueId val="{00000001-37A8-4833-B6CA-73306B363E65}"/>
            </c:ext>
          </c:extLst>
        </c:ser>
        <c:ser>
          <c:idx val="2"/>
          <c:order val="2"/>
          <c:tx>
            <c:strRef>
              <c:f>Operations!$C$188</c:f>
              <c:strCache>
                <c:ptCount val="1"/>
                <c:pt idx="0">
                  <c:v>Premium</c:v>
                </c:pt>
              </c:strCache>
            </c:strRef>
          </c:tx>
          <c:xVal>
            <c:numRef>
              <c:f>Operations!$D$185:$K$185</c:f>
            </c:numRef>
          </c:xVal>
          <c:yVal>
            <c:numRef>
              <c:f>Operations!$D$188:$K$188</c:f>
            </c:numRef>
          </c:yVal>
          <c:smooth val="0"/>
          <c:extLst>
            <c:ext xmlns:c16="http://schemas.microsoft.com/office/drawing/2014/chart" uri="{C3380CC4-5D6E-409C-BE32-E72D297353CC}">
              <c16:uniqueId val="{00000002-37A8-4833-B6CA-73306B363E65}"/>
            </c:ext>
          </c:extLst>
        </c:ser>
        <c:dLbls>
          <c:showLegendKey val="0"/>
          <c:showVal val="0"/>
          <c:showCatName val="0"/>
          <c:showSerName val="0"/>
          <c:showPercent val="0"/>
          <c:showBubbleSize val="0"/>
        </c:dLbls>
        <c:axId val="217024880"/>
        <c:axId val="217025440"/>
      </c:scatterChart>
      <c:valAx>
        <c:axId val="217024880"/>
        <c:scaling>
          <c:orientation val="minMax"/>
        </c:scaling>
        <c:delete val="0"/>
        <c:axPos val="b"/>
        <c:numFmt formatCode="mmm\ yyyy" sourceLinked="1"/>
        <c:majorTickMark val="out"/>
        <c:minorTickMark val="none"/>
        <c:tickLblPos val="nextTo"/>
        <c:txPr>
          <a:bodyPr/>
          <a:lstStyle/>
          <a:p>
            <a:pPr algn="ctr">
              <a:defRPr lang="en-GB" sz="1000" b="0" i="0" u="none" strike="noStrike" kern="1200" baseline="0">
                <a:solidFill>
                  <a:sysClr val="windowText" lastClr="000000"/>
                </a:solidFill>
                <a:latin typeface="+mn-lt"/>
                <a:ea typeface="+mn-ea"/>
                <a:cs typeface="+mn-cs"/>
              </a:defRPr>
            </a:pPr>
            <a:endParaRPr lang="en-US"/>
          </a:p>
        </c:txPr>
        <c:crossAx val="217025440"/>
        <c:crosses val="autoZero"/>
        <c:crossBetween val="midCat"/>
      </c:valAx>
      <c:valAx>
        <c:axId val="217025440"/>
        <c:scaling>
          <c:orientation val="minMax"/>
        </c:scaling>
        <c:delete val="0"/>
        <c:axPos val="l"/>
        <c:majorGridlines/>
        <c:title>
          <c:tx>
            <c:rich>
              <a:bodyPr rot="-5400000" vert="horz"/>
              <a:lstStyle/>
              <a:p>
                <a:pPr>
                  <a:defRPr/>
                </a:pPr>
                <a:r>
                  <a:rPr lang="en-US"/>
                  <a:t>COS (EUR)</a:t>
                </a:r>
              </a:p>
            </c:rich>
          </c:tx>
          <c:layout>
            <c:manualLayout>
              <c:xMode val="edge"/>
              <c:yMode val="edge"/>
              <c:x val="3.5978666783480995E-2"/>
              <c:y val="0.4849238605994296"/>
            </c:manualLayout>
          </c:layout>
          <c:overlay val="0"/>
        </c:title>
        <c:numFmt formatCode="#,##0" sourceLinked="0"/>
        <c:majorTickMark val="out"/>
        <c:minorTickMark val="none"/>
        <c:tickLblPos val="nextTo"/>
        <c:crossAx val="217024880"/>
        <c:crosses val="autoZero"/>
        <c:crossBetween val="midCat"/>
        <c:dispUnits>
          <c:builtInUnit val="thousands"/>
          <c:dispUnitsLbl/>
        </c:dispUnits>
      </c:valAx>
    </c:plotArea>
    <c:legend>
      <c:legendPos val="b"/>
      <c:overlay val="0"/>
    </c:legend>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Annual </a:t>
            </a:r>
            <a:r>
              <a:rPr lang="en-GB" baseline="0"/>
              <a:t>COS - Top-down</a:t>
            </a:r>
            <a:endParaRPr lang="en-GB"/>
          </a:p>
        </c:rich>
      </c:tx>
      <c:layout>
        <c:manualLayout>
          <c:xMode val="edge"/>
          <c:yMode val="edge"/>
          <c:x val="0.29034482758620689"/>
          <c:y val="2.2835394862036156E-2"/>
        </c:manualLayout>
      </c:layout>
      <c:overlay val="0"/>
    </c:title>
    <c:autoTitleDeleted val="0"/>
    <c:plotArea>
      <c:layout>
        <c:manualLayout>
          <c:layoutTarget val="inner"/>
          <c:xMode val="edge"/>
          <c:yMode val="edge"/>
          <c:x val="0.222059071545125"/>
          <c:y val="0.25196143146777311"/>
          <c:w val="0.7115186227590814"/>
          <c:h val="0.51330888296757593"/>
        </c:manualLayout>
      </c:layout>
      <c:scatterChart>
        <c:scatterStyle val="lineMarker"/>
        <c:varyColors val="0"/>
        <c:ser>
          <c:idx val="1"/>
          <c:order val="0"/>
          <c:tx>
            <c:strRef>
              <c:f>Operations!$S$195</c:f>
              <c:strCache>
                <c:ptCount val="1"/>
                <c:pt idx="0">
                  <c:v>Free Tier</c:v>
                </c:pt>
              </c:strCache>
            </c:strRef>
          </c:tx>
          <c:xVal>
            <c:numRef>
              <c:f>Operations!$T$194:$Y$194</c:f>
            </c:numRef>
          </c:xVal>
          <c:yVal>
            <c:numRef>
              <c:f>Operations!$T$195:$Y$195</c:f>
            </c:numRef>
          </c:yVal>
          <c:smooth val="0"/>
          <c:extLst>
            <c:ext xmlns:c16="http://schemas.microsoft.com/office/drawing/2014/chart" uri="{C3380CC4-5D6E-409C-BE32-E72D297353CC}">
              <c16:uniqueId val="{00000000-B70C-4A29-A1C2-F602A4422CC2}"/>
            </c:ext>
          </c:extLst>
        </c:ser>
        <c:ser>
          <c:idx val="0"/>
          <c:order val="1"/>
          <c:tx>
            <c:strRef>
              <c:f>Operations!$S$196</c:f>
              <c:strCache>
                <c:ptCount val="1"/>
                <c:pt idx="0">
                  <c:v>Professional</c:v>
                </c:pt>
              </c:strCache>
            </c:strRef>
          </c:tx>
          <c:xVal>
            <c:numRef>
              <c:f>Operations!$T$194:$Y$194</c:f>
            </c:numRef>
          </c:xVal>
          <c:yVal>
            <c:numRef>
              <c:f>Operations!$T$196:$Y$196</c:f>
            </c:numRef>
          </c:yVal>
          <c:smooth val="0"/>
          <c:extLst>
            <c:ext xmlns:c16="http://schemas.microsoft.com/office/drawing/2014/chart" uri="{C3380CC4-5D6E-409C-BE32-E72D297353CC}">
              <c16:uniqueId val="{00000001-B70C-4A29-A1C2-F602A4422CC2}"/>
            </c:ext>
          </c:extLst>
        </c:ser>
        <c:ser>
          <c:idx val="2"/>
          <c:order val="2"/>
          <c:tx>
            <c:strRef>
              <c:f>Operations!$S$197</c:f>
              <c:strCache>
                <c:ptCount val="1"/>
                <c:pt idx="0">
                  <c:v>Premium</c:v>
                </c:pt>
              </c:strCache>
            </c:strRef>
          </c:tx>
          <c:xVal>
            <c:numRef>
              <c:f>Operations!$T$194:$Y$194</c:f>
            </c:numRef>
          </c:xVal>
          <c:yVal>
            <c:numRef>
              <c:f>Operations!$T$197:$Y$197</c:f>
            </c:numRef>
          </c:yVal>
          <c:smooth val="0"/>
          <c:extLst>
            <c:ext xmlns:c16="http://schemas.microsoft.com/office/drawing/2014/chart" uri="{C3380CC4-5D6E-409C-BE32-E72D297353CC}">
              <c16:uniqueId val="{00000002-B70C-4A29-A1C2-F602A4422CC2}"/>
            </c:ext>
          </c:extLst>
        </c:ser>
        <c:dLbls>
          <c:showLegendKey val="0"/>
          <c:showVal val="0"/>
          <c:showCatName val="0"/>
          <c:showSerName val="0"/>
          <c:showPercent val="0"/>
          <c:showBubbleSize val="0"/>
        </c:dLbls>
        <c:axId val="216922816"/>
        <c:axId val="216923376"/>
      </c:scatterChart>
      <c:valAx>
        <c:axId val="216922816"/>
        <c:scaling>
          <c:orientation val="minMax"/>
        </c:scaling>
        <c:delete val="0"/>
        <c:axPos val="b"/>
        <c:numFmt formatCode="mmm\ yyyy" sourceLinked="1"/>
        <c:majorTickMark val="out"/>
        <c:minorTickMark val="none"/>
        <c:tickLblPos val="nextTo"/>
        <c:txPr>
          <a:bodyPr/>
          <a:lstStyle/>
          <a:p>
            <a:pPr algn="ctr">
              <a:defRPr lang="en-GB" sz="1000" b="0" i="0" u="none" strike="noStrike" kern="1200" baseline="0">
                <a:solidFill>
                  <a:sysClr val="windowText" lastClr="000000"/>
                </a:solidFill>
                <a:latin typeface="+mn-lt"/>
                <a:ea typeface="+mn-ea"/>
                <a:cs typeface="+mn-cs"/>
              </a:defRPr>
            </a:pPr>
            <a:endParaRPr lang="en-US"/>
          </a:p>
        </c:txPr>
        <c:crossAx val="216923376"/>
        <c:crosses val="autoZero"/>
        <c:crossBetween val="midCat"/>
      </c:valAx>
      <c:valAx>
        <c:axId val="216923376"/>
        <c:scaling>
          <c:orientation val="minMax"/>
        </c:scaling>
        <c:delete val="0"/>
        <c:axPos val="l"/>
        <c:majorGridlines/>
        <c:title>
          <c:tx>
            <c:rich>
              <a:bodyPr rot="-5400000" vert="horz"/>
              <a:lstStyle/>
              <a:p>
                <a:pPr>
                  <a:defRPr/>
                </a:pPr>
                <a:r>
                  <a:rPr lang="en-US"/>
                  <a:t>COS (EUR)</a:t>
                </a:r>
              </a:p>
            </c:rich>
          </c:tx>
          <c:layout>
            <c:manualLayout>
              <c:xMode val="edge"/>
              <c:yMode val="edge"/>
              <c:x val="3.3391740496971953E-2"/>
              <c:y val="0.49071215744853286"/>
            </c:manualLayout>
          </c:layout>
          <c:overlay val="0"/>
        </c:title>
        <c:numFmt formatCode="#,##0" sourceLinked="0"/>
        <c:majorTickMark val="out"/>
        <c:minorTickMark val="none"/>
        <c:tickLblPos val="nextTo"/>
        <c:crossAx val="216922816"/>
        <c:crosses val="autoZero"/>
        <c:crossBetween val="midCat"/>
        <c:dispUnits>
          <c:builtInUnit val="thousands"/>
          <c:dispUnitsLbl/>
        </c:dispUnits>
      </c:valAx>
    </c:plotArea>
    <c:legend>
      <c:legendPos val="b"/>
      <c:overlay val="0"/>
    </c:legend>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Quarterly</a:t>
            </a:r>
            <a:r>
              <a:rPr lang="en-GB" baseline="0"/>
              <a:t> COS - Bottom-up (first two years)</a:t>
            </a:r>
            <a:endParaRPr lang="en-GB"/>
          </a:p>
        </c:rich>
      </c:tx>
      <c:overlay val="0"/>
    </c:title>
    <c:autoTitleDeleted val="0"/>
    <c:plotArea>
      <c:layout>
        <c:manualLayout>
          <c:layoutTarget val="inner"/>
          <c:xMode val="edge"/>
          <c:yMode val="edge"/>
          <c:x val="0.222059071545125"/>
          <c:y val="0.25196143146777311"/>
          <c:w val="0.71151862275908129"/>
          <c:h val="0.50982599026266751"/>
        </c:manualLayout>
      </c:layout>
      <c:scatterChart>
        <c:scatterStyle val="lineMarker"/>
        <c:varyColors val="0"/>
        <c:ser>
          <c:idx val="1"/>
          <c:order val="0"/>
          <c:tx>
            <c:strRef>
              <c:f>Operations!$C$217</c:f>
              <c:strCache>
                <c:ptCount val="1"/>
                <c:pt idx="0">
                  <c:v>Free Tier</c:v>
                </c:pt>
              </c:strCache>
            </c:strRef>
          </c:tx>
          <c:xVal>
            <c:numRef>
              <c:f>Operations!$D$216:$K$216</c:f>
            </c:numRef>
          </c:xVal>
          <c:yVal>
            <c:numRef>
              <c:f>Operations!$D$217:$K$217</c:f>
            </c:numRef>
          </c:yVal>
          <c:smooth val="0"/>
          <c:extLst>
            <c:ext xmlns:c16="http://schemas.microsoft.com/office/drawing/2014/chart" uri="{C3380CC4-5D6E-409C-BE32-E72D297353CC}">
              <c16:uniqueId val="{00000000-3F59-4F2B-A20B-D6EADFCC5CB6}"/>
            </c:ext>
          </c:extLst>
        </c:ser>
        <c:ser>
          <c:idx val="0"/>
          <c:order val="1"/>
          <c:tx>
            <c:strRef>
              <c:f>Operations!$C$218</c:f>
              <c:strCache>
                <c:ptCount val="1"/>
                <c:pt idx="0">
                  <c:v>Professional</c:v>
                </c:pt>
              </c:strCache>
            </c:strRef>
          </c:tx>
          <c:xVal>
            <c:numRef>
              <c:f>Operations!$D$216:$K$216</c:f>
            </c:numRef>
          </c:xVal>
          <c:yVal>
            <c:numRef>
              <c:f>Operations!$D$218:$K$218</c:f>
            </c:numRef>
          </c:yVal>
          <c:smooth val="0"/>
          <c:extLst>
            <c:ext xmlns:c16="http://schemas.microsoft.com/office/drawing/2014/chart" uri="{C3380CC4-5D6E-409C-BE32-E72D297353CC}">
              <c16:uniqueId val="{00000001-3F59-4F2B-A20B-D6EADFCC5CB6}"/>
            </c:ext>
          </c:extLst>
        </c:ser>
        <c:ser>
          <c:idx val="2"/>
          <c:order val="2"/>
          <c:tx>
            <c:strRef>
              <c:f>Operations!$C$219</c:f>
              <c:strCache>
                <c:ptCount val="1"/>
                <c:pt idx="0">
                  <c:v>Premium</c:v>
                </c:pt>
              </c:strCache>
            </c:strRef>
          </c:tx>
          <c:xVal>
            <c:numRef>
              <c:f>Operations!$D$216:$K$216</c:f>
            </c:numRef>
          </c:xVal>
          <c:yVal>
            <c:numRef>
              <c:f>Operations!$D$219:$K$219</c:f>
            </c:numRef>
          </c:yVal>
          <c:smooth val="0"/>
          <c:extLst>
            <c:ext xmlns:c16="http://schemas.microsoft.com/office/drawing/2014/chart" uri="{C3380CC4-5D6E-409C-BE32-E72D297353CC}">
              <c16:uniqueId val="{00000002-3F59-4F2B-A20B-D6EADFCC5CB6}"/>
            </c:ext>
          </c:extLst>
        </c:ser>
        <c:dLbls>
          <c:showLegendKey val="0"/>
          <c:showVal val="0"/>
          <c:showCatName val="0"/>
          <c:showSerName val="0"/>
          <c:showPercent val="0"/>
          <c:showBubbleSize val="0"/>
        </c:dLbls>
        <c:axId val="216927296"/>
        <c:axId val="216927856"/>
      </c:scatterChart>
      <c:valAx>
        <c:axId val="216927296"/>
        <c:scaling>
          <c:orientation val="minMax"/>
        </c:scaling>
        <c:delete val="0"/>
        <c:axPos val="b"/>
        <c:numFmt formatCode="mmm\ yyyy" sourceLinked="1"/>
        <c:majorTickMark val="out"/>
        <c:minorTickMark val="none"/>
        <c:tickLblPos val="nextTo"/>
        <c:txPr>
          <a:bodyPr/>
          <a:lstStyle/>
          <a:p>
            <a:pPr algn="ctr">
              <a:defRPr lang="en-GB" sz="1000" b="0" i="0" u="none" strike="noStrike" kern="1200" baseline="0">
                <a:solidFill>
                  <a:sysClr val="windowText" lastClr="000000"/>
                </a:solidFill>
                <a:latin typeface="+mn-lt"/>
                <a:ea typeface="+mn-ea"/>
                <a:cs typeface="+mn-cs"/>
              </a:defRPr>
            </a:pPr>
            <a:endParaRPr lang="en-US"/>
          </a:p>
        </c:txPr>
        <c:crossAx val="216927856"/>
        <c:crosses val="autoZero"/>
        <c:crossBetween val="midCat"/>
      </c:valAx>
      <c:valAx>
        <c:axId val="216927856"/>
        <c:scaling>
          <c:orientation val="minMax"/>
        </c:scaling>
        <c:delete val="0"/>
        <c:axPos val="l"/>
        <c:majorGridlines/>
        <c:title>
          <c:tx>
            <c:rich>
              <a:bodyPr rot="-5400000" vert="horz"/>
              <a:lstStyle/>
              <a:p>
                <a:pPr>
                  <a:defRPr/>
                </a:pPr>
                <a:r>
                  <a:rPr lang="en-US"/>
                  <a:t>COS (EUR)</a:t>
                </a:r>
              </a:p>
            </c:rich>
          </c:tx>
          <c:layout>
            <c:manualLayout>
              <c:xMode val="edge"/>
              <c:yMode val="edge"/>
              <c:x val="3.5978666783480995E-2"/>
              <c:y val="0.4849238605994296"/>
            </c:manualLayout>
          </c:layout>
          <c:overlay val="0"/>
        </c:title>
        <c:numFmt formatCode="#,##0" sourceLinked="0"/>
        <c:majorTickMark val="out"/>
        <c:minorTickMark val="none"/>
        <c:tickLblPos val="nextTo"/>
        <c:crossAx val="216927296"/>
        <c:crosses val="autoZero"/>
        <c:crossBetween val="midCat"/>
        <c:dispUnits>
          <c:builtInUnit val="thousands"/>
          <c:dispUnitsLbl/>
        </c:dispUnits>
      </c:valAx>
    </c:plotArea>
    <c:legend>
      <c:legendPos val="b"/>
      <c:overlay val="0"/>
    </c:legend>
    <c:plotVisOnly val="1"/>
    <c:dispBlanksAs val="gap"/>
    <c:showDLblsOverMax val="0"/>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Annual </a:t>
            </a:r>
            <a:r>
              <a:rPr lang="en-GB" baseline="0"/>
              <a:t>COS - Bottom-up</a:t>
            </a:r>
            <a:endParaRPr lang="en-GB"/>
          </a:p>
        </c:rich>
      </c:tx>
      <c:overlay val="0"/>
    </c:title>
    <c:autoTitleDeleted val="0"/>
    <c:plotArea>
      <c:layout>
        <c:manualLayout>
          <c:layoutTarget val="inner"/>
          <c:xMode val="edge"/>
          <c:yMode val="edge"/>
          <c:x val="0.222059071545125"/>
          <c:y val="0.25196143146777311"/>
          <c:w val="0.7115186227590814"/>
          <c:h val="0.51330888296757593"/>
        </c:manualLayout>
      </c:layout>
      <c:scatterChart>
        <c:scatterStyle val="lineMarker"/>
        <c:varyColors val="0"/>
        <c:ser>
          <c:idx val="1"/>
          <c:order val="0"/>
          <c:tx>
            <c:strRef>
              <c:f>Operations!$S$244</c:f>
              <c:strCache>
                <c:ptCount val="1"/>
                <c:pt idx="0">
                  <c:v>Free Tier</c:v>
                </c:pt>
              </c:strCache>
            </c:strRef>
          </c:tx>
          <c:xVal>
            <c:numRef>
              <c:f>Operations!$T$243:$Y$243</c:f>
            </c:numRef>
          </c:xVal>
          <c:yVal>
            <c:numRef>
              <c:f>Operations!$T$244:$Y$244</c:f>
            </c:numRef>
          </c:yVal>
          <c:smooth val="0"/>
          <c:extLst>
            <c:ext xmlns:c16="http://schemas.microsoft.com/office/drawing/2014/chart" uri="{C3380CC4-5D6E-409C-BE32-E72D297353CC}">
              <c16:uniqueId val="{00000000-D44E-4D35-8AC6-EB4D784C79D7}"/>
            </c:ext>
          </c:extLst>
        </c:ser>
        <c:ser>
          <c:idx val="0"/>
          <c:order val="1"/>
          <c:tx>
            <c:strRef>
              <c:f>Operations!$S$245</c:f>
              <c:strCache>
                <c:ptCount val="1"/>
                <c:pt idx="0">
                  <c:v>Professional</c:v>
                </c:pt>
              </c:strCache>
            </c:strRef>
          </c:tx>
          <c:xVal>
            <c:numRef>
              <c:f>Operations!$T$243:$Y$243</c:f>
            </c:numRef>
          </c:xVal>
          <c:yVal>
            <c:numRef>
              <c:f>Operations!$T$245:$Y$245</c:f>
            </c:numRef>
          </c:yVal>
          <c:smooth val="0"/>
          <c:extLst>
            <c:ext xmlns:c16="http://schemas.microsoft.com/office/drawing/2014/chart" uri="{C3380CC4-5D6E-409C-BE32-E72D297353CC}">
              <c16:uniqueId val="{00000001-D44E-4D35-8AC6-EB4D784C79D7}"/>
            </c:ext>
          </c:extLst>
        </c:ser>
        <c:ser>
          <c:idx val="2"/>
          <c:order val="2"/>
          <c:tx>
            <c:strRef>
              <c:f>Operations!$S$246</c:f>
              <c:strCache>
                <c:ptCount val="1"/>
                <c:pt idx="0">
                  <c:v>Premium</c:v>
                </c:pt>
              </c:strCache>
            </c:strRef>
          </c:tx>
          <c:xVal>
            <c:numRef>
              <c:f>Operations!$T$243:$Y$243</c:f>
            </c:numRef>
          </c:xVal>
          <c:yVal>
            <c:numRef>
              <c:f>Operations!$T$246:$Y$246</c:f>
            </c:numRef>
          </c:yVal>
          <c:smooth val="0"/>
          <c:extLst>
            <c:ext xmlns:c16="http://schemas.microsoft.com/office/drawing/2014/chart" uri="{C3380CC4-5D6E-409C-BE32-E72D297353CC}">
              <c16:uniqueId val="{00000002-D44E-4D35-8AC6-EB4D784C79D7}"/>
            </c:ext>
          </c:extLst>
        </c:ser>
        <c:dLbls>
          <c:showLegendKey val="0"/>
          <c:showVal val="0"/>
          <c:showCatName val="0"/>
          <c:showSerName val="0"/>
          <c:showPercent val="0"/>
          <c:showBubbleSize val="0"/>
        </c:dLbls>
        <c:axId val="216931776"/>
        <c:axId val="216932336"/>
      </c:scatterChart>
      <c:valAx>
        <c:axId val="216931776"/>
        <c:scaling>
          <c:orientation val="minMax"/>
        </c:scaling>
        <c:delete val="0"/>
        <c:axPos val="b"/>
        <c:numFmt formatCode="mmm\ yyyy" sourceLinked="1"/>
        <c:majorTickMark val="out"/>
        <c:minorTickMark val="none"/>
        <c:tickLblPos val="nextTo"/>
        <c:txPr>
          <a:bodyPr/>
          <a:lstStyle/>
          <a:p>
            <a:pPr algn="ctr">
              <a:defRPr lang="en-GB" sz="1000" b="0" i="0" u="none" strike="noStrike" kern="1200" baseline="0">
                <a:solidFill>
                  <a:sysClr val="windowText" lastClr="000000"/>
                </a:solidFill>
                <a:latin typeface="+mn-lt"/>
                <a:ea typeface="+mn-ea"/>
                <a:cs typeface="+mn-cs"/>
              </a:defRPr>
            </a:pPr>
            <a:endParaRPr lang="en-US"/>
          </a:p>
        </c:txPr>
        <c:crossAx val="216932336"/>
        <c:crosses val="autoZero"/>
        <c:crossBetween val="midCat"/>
      </c:valAx>
      <c:valAx>
        <c:axId val="216932336"/>
        <c:scaling>
          <c:orientation val="minMax"/>
        </c:scaling>
        <c:delete val="0"/>
        <c:axPos val="l"/>
        <c:majorGridlines/>
        <c:title>
          <c:tx>
            <c:rich>
              <a:bodyPr rot="-5400000" vert="horz"/>
              <a:lstStyle/>
              <a:p>
                <a:pPr>
                  <a:defRPr/>
                </a:pPr>
                <a:r>
                  <a:rPr lang="en-US"/>
                  <a:t>COS (EUR)</a:t>
                </a:r>
              </a:p>
            </c:rich>
          </c:tx>
          <c:layout>
            <c:manualLayout>
              <c:xMode val="edge"/>
              <c:yMode val="edge"/>
              <c:x val="3.3391740496971953E-2"/>
              <c:y val="0.49071215744853286"/>
            </c:manualLayout>
          </c:layout>
          <c:overlay val="0"/>
        </c:title>
        <c:numFmt formatCode="#,##0" sourceLinked="0"/>
        <c:majorTickMark val="out"/>
        <c:minorTickMark val="none"/>
        <c:tickLblPos val="nextTo"/>
        <c:crossAx val="216931776"/>
        <c:crosses val="autoZero"/>
        <c:crossBetween val="midCat"/>
        <c:dispUnits>
          <c:builtInUnit val="thousands"/>
          <c:dispUnitsLbl/>
        </c:dispUnits>
      </c:valAx>
    </c:plotArea>
    <c:legend>
      <c:legendPos val="b"/>
      <c:overlay val="0"/>
    </c:legend>
    <c:plotVisOnly val="1"/>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Quarterly Payroll Costs (first two years)</a:t>
            </a:r>
          </a:p>
        </c:rich>
      </c:tx>
      <c:overlay val="0"/>
    </c:title>
    <c:autoTitleDeleted val="0"/>
    <c:plotArea>
      <c:layout/>
      <c:scatterChart>
        <c:scatterStyle val="lineMarker"/>
        <c:varyColors val="0"/>
        <c:ser>
          <c:idx val="0"/>
          <c:order val="0"/>
          <c:tx>
            <c:strRef>
              <c:f>Operations!$C$312</c:f>
              <c:strCache>
                <c:ptCount val="1"/>
                <c:pt idx="0">
                  <c:v>Founders  (first year)</c:v>
                </c:pt>
              </c:strCache>
            </c:strRef>
          </c:tx>
          <c:xVal>
            <c:numRef>
              <c:f>Operations!$D$311:$K$311</c:f>
            </c:numRef>
          </c:xVal>
          <c:yVal>
            <c:numRef>
              <c:f>Operations!$D$312:$K$312</c:f>
            </c:numRef>
          </c:yVal>
          <c:smooth val="0"/>
          <c:extLst>
            <c:ext xmlns:c16="http://schemas.microsoft.com/office/drawing/2014/chart" uri="{C3380CC4-5D6E-409C-BE32-E72D297353CC}">
              <c16:uniqueId val="{00000000-A247-4EC4-B8AC-DE1D34181AB3}"/>
            </c:ext>
          </c:extLst>
        </c:ser>
        <c:ser>
          <c:idx val="1"/>
          <c:order val="1"/>
          <c:tx>
            <c:strRef>
              <c:f>Operations!$C$313</c:f>
              <c:strCache>
                <c:ptCount val="1"/>
                <c:pt idx="0">
                  <c:v>Founders (2028 onwards)</c:v>
                </c:pt>
              </c:strCache>
            </c:strRef>
          </c:tx>
          <c:xVal>
            <c:numRef>
              <c:f>Operations!$D$311:$K$311</c:f>
            </c:numRef>
          </c:xVal>
          <c:yVal>
            <c:numRef>
              <c:f>Operations!$D$313:$K$313</c:f>
            </c:numRef>
          </c:yVal>
          <c:smooth val="0"/>
          <c:extLst>
            <c:ext xmlns:c16="http://schemas.microsoft.com/office/drawing/2014/chart" uri="{C3380CC4-5D6E-409C-BE32-E72D297353CC}">
              <c16:uniqueId val="{00000001-A247-4EC4-B8AC-DE1D34181AB3}"/>
            </c:ext>
          </c:extLst>
        </c:ser>
        <c:ser>
          <c:idx val="2"/>
          <c:order val="2"/>
          <c:tx>
            <c:strRef>
              <c:f>Operations!$C$314</c:f>
              <c:strCache>
                <c:ptCount val="1"/>
                <c:pt idx="0">
                  <c:v>Engineers</c:v>
                </c:pt>
              </c:strCache>
            </c:strRef>
          </c:tx>
          <c:xVal>
            <c:numRef>
              <c:f>Operations!$D$311:$K$311</c:f>
            </c:numRef>
          </c:xVal>
          <c:yVal>
            <c:numRef>
              <c:f>Operations!$D$314:$K$314</c:f>
            </c:numRef>
          </c:yVal>
          <c:smooth val="0"/>
          <c:extLst>
            <c:ext xmlns:c16="http://schemas.microsoft.com/office/drawing/2014/chart" uri="{C3380CC4-5D6E-409C-BE32-E72D297353CC}">
              <c16:uniqueId val="{00000002-A247-4EC4-B8AC-DE1D34181AB3}"/>
            </c:ext>
          </c:extLst>
        </c:ser>
        <c:ser>
          <c:idx val="3"/>
          <c:order val="3"/>
          <c:tx>
            <c:strRef>
              <c:f>Operations!$C$315</c:f>
              <c:strCache>
                <c:ptCount val="1"/>
                <c:pt idx="0">
                  <c:v>Sales</c:v>
                </c:pt>
              </c:strCache>
            </c:strRef>
          </c:tx>
          <c:xVal>
            <c:numRef>
              <c:f>Operations!$D$311:$K$311</c:f>
            </c:numRef>
          </c:xVal>
          <c:yVal>
            <c:numRef>
              <c:f>Operations!$D$315:$K$315</c:f>
            </c:numRef>
          </c:yVal>
          <c:smooth val="0"/>
          <c:extLst>
            <c:ext xmlns:c16="http://schemas.microsoft.com/office/drawing/2014/chart" uri="{C3380CC4-5D6E-409C-BE32-E72D297353CC}">
              <c16:uniqueId val="{00000003-A247-4EC4-B8AC-DE1D34181AB3}"/>
            </c:ext>
          </c:extLst>
        </c:ser>
        <c:ser>
          <c:idx val="4"/>
          <c:order val="4"/>
          <c:tx>
            <c:strRef>
              <c:f>Operations!$C$316</c:f>
              <c:strCache>
                <c:ptCount val="1"/>
                <c:pt idx="0">
                  <c:v>Admin</c:v>
                </c:pt>
              </c:strCache>
            </c:strRef>
          </c:tx>
          <c:xVal>
            <c:numRef>
              <c:f>Operations!$D$311:$K$311</c:f>
            </c:numRef>
          </c:xVal>
          <c:yVal>
            <c:numRef>
              <c:f>Operations!$D$316:$K$316</c:f>
            </c:numRef>
          </c:yVal>
          <c:smooth val="0"/>
          <c:extLst>
            <c:ext xmlns:c16="http://schemas.microsoft.com/office/drawing/2014/chart" uri="{C3380CC4-5D6E-409C-BE32-E72D297353CC}">
              <c16:uniqueId val="{00000004-A247-4EC4-B8AC-DE1D34181AB3}"/>
            </c:ext>
          </c:extLst>
        </c:ser>
        <c:ser>
          <c:idx val="5"/>
          <c:order val="5"/>
          <c:tx>
            <c:strRef>
              <c:f>Operations!$C$317</c:f>
              <c:strCache>
                <c:ptCount val="1"/>
                <c:pt idx="0">
                  <c:v>Finance</c:v>
                </c:pt>
              </c:strCache>
            </c:strRef>
          </c:tx>
          <c:xVal>
            <c:numRef>
              <c:f>Operations!$D$311:$K$311</c:f>
            </c:numRef>
          </c:xVal>
          <c:yVal>
            <c:numRef>
              <c:f>Operations!$D$317:$K$317</c:f>
            </c:numRef>
          </c:yVal>
          <c:smooth val="0"/>
          <c:extLst>
            <c:ext xmlns:c16="http://schemas.microsoft.com/office/drawing/2014/chart" uri="{C3380CC4-5D6E-409C-BE32-E72D297353CC}">
              <c16:uniqueId val="{00000005-A247-4EC4-B8AC-DE1D34181AB3}"/>
            </c:ext>
          </c:extLst>
        </c:ser>
        <c:dLbls>
          <c:showLegendKey val="0"/>
          <c:showVal val="0"/>
          <c:showCatName val="0"/>
          <c:showSerName val="0"/>
          <c:showPercent val="0"/>
          <c:showBubbleSize val="0"/>
        </c:dLbls>
        <c:axId val="217402144"/>
        <c:axId val="217402704"/>
      </c:scatterChart>
      <c:valAx>
        <c:axId val="217402144"/>
        <c:scaling>
          <c:orientation val="minMax"/>
        </c:scaling>
        <c:delete val="0"/>
        <c:axPos val="b"/>
        <c:numFmt formatCode="mmm\ yyyy" sourceLinked="1"/>
        <c:majorTickMark val="out"/>
        <c:minorTickMark val="none"/>
        <c:tickLblPos val="nextTo"/>
        <c:crossAx val="217402704"/>
        <c:crosses val="autoZero"/>
        <c:crossBetween val="midCat"/>
      </c:valAx>
      <c:valAx>
        <c:axId val="217402704"/>
        <c:scaling>
          <c:orientation val="minMax"/>
        </c:scaling>
        <c:delete val="0"/>
        <c:axPos val="l"/>
        <c:majorGridlines/>
        <c:title>
          <c:tx>
            <c:rich>
              <a:bodyPr rot="-5400000" vert="horz"/>
              <a:lstStyle/>
              <a:p>
                <a:pPr>
                  <a:defRPr/>
                </a:pPr>
                <a:r>
                  <a:rPr lang="en-US"/>
                  <a:t>Payroll (EUR)</a:t>
                </a:r>
              </a:p>
            </c:rich>
          </c:tx>
          <c:layout>
            <c:manualLayout>
              <c:xMode val="edge"/>
              <c:yMode val="edge"/>
              <c:x val="3.0555555555555555E-2"/>
              <c:y val="0.26839883373780049"/>
            </c:manualLayout>
          </c:layout>
          <c:overlay val="0"/>
        </c:title>
        <c:numFmt formatCode="#,##0" sourceLinked="0"/>
        <c:majorTickMark val="out"/>
        <c:minorTickMark val="none"/>
        <c:tickLblPos val="nextTo"/>
        <c:crossAx val="217402144"/>
        <c:crosses val="autoZero"/>
        <c:crossBetween val="midCat"/>
        <c:dispUnits>
          <c:builtInUnit val="thousands"/>
          <c:dispUnitsLbl/>
        </c:dispUnits>
      </c:valAx>
    </c:plotArea>
    <c:legend>
      <c:legendPos val="b"/>
      <c:overlay val="0"/>
    </c:legend>
    <c:plotVisOnly val="1"/>
    <c:dispBlanksAs val="zero"/>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Annual Payroll</a:t>
            </a:r>
            <a:r>
              <a:rPr lang="en-US" baseline="0"/>
              <a:t> Costs by Staff Type</a:t>
            </a:r>
            <a:endParaRPr lang="en-US"/>
          </a:p>
        </c:rich>
      </c:tx>
      <c:overlay val="0"/>
    </c:title>
    <c:autoTitleDeleted val="0"/>
    <c:plotArea>
      <c:layout/>
      <c:areaChart>
        <c:grouping val="stacked"/>
        <c:varyColors val="0"/>
        <c:ser>
          <c:idx val="0"/>
          <c:order val="0"/>
          <c:tx>
            <c:strRef>
              <c:f>Operations!$S$295</c:f>
              <c:strCache>
                <c:ptCount val="1"/>
                <c:pt idx="0">
                  <c:v>Founders  (first year)</c:v>
                </c:pt>
              </c:strCache>
            </c:strRef>
          </c:tx>
          <c:val>
            <c:numRef>
              <c:f>Operations!$T$295:$Y$295</c:f>
            </c:numRef>
          </c:val>
          <c:extLst>
            <c:ext xmlns:c15="http://schemas.microsoft.com/office/drawing/2012/chart" uri="{02D57815-91ED-43cb-92C2-25804820EDAC}">
              <c15:filteredCategoryTitle>
                <c15:cat>
                  <c:multiLvlStrRef>
                    <c:extLst>
                      <c:ext uri="{02D57815-91ED-43cb-92C2-25804820EDAC}">
                        <c15:formulaRef>
                          <c15:sqref>Operations!$T$294:$Y$294</c15:sqref>
                        </c15:formulaRef>
                      </c:ext>
                    </c:extLst>
                  </c:multiLvlStrRef>
                </c15:cat>
              </c15:filteredCategoryTitle>
            </c:ext>
            <c:ext xmlns:c16="http://schemas.microsoft.com/office/drawing/2014/chart" uri="{C3380CC4-5D6E-409C-BE32-E72D297353CC}">
              <c16:uniqueId val="{00000000-D00D-4505-88DC-27542FF5806B}"/>
            </c:ext>
          </c:extLst>
        </c:ser>
        <c:ser>
          <c:idx val="1"/>
          <c:order val="1"/>
          <c:tx>
            <c:strRef>
              <c:f>Operations!$S$296</c:f>
              <c:strCache>
                <c:ptCount val="1"/>
                <c:pt idx="0">
                  <c:v>Founders (2028 onwards)</c:v>
                </c:pt>
              </c:strCache>
            </c:strRef>
          </c:tx>
          <c:val>
            <c:numRef>
              <c:f>Operations!$T$296:$Y$296</c:f>
            </c:numRef>
          </c:val>
          <c:extLst>
            <c:ext xmlns:c15="http://schemas.microsoft.com/office/drawing/2012/chart" uri="{02D57815-91ED-43cb-92C2-25804820EDAC}">
              <c15:filteredCategoryTitle>
                <c15:cat>
                  <c:multiLvlStrRef>
                    <c:extLst>
                      <c:ext uri="{02D57815-91ED-43cb-92C2-25804820EDAC}">
                        <c15:formulaRef>
                          <c15:sqref>Operations!$T$294:$Y$294</c15:sqref>
                        </c15:formulaRef>
                      </c:ext>
                    </c:extLst>
                  </c:multiLvlStrRef>
                </c15:cat>
              </c15:filteredCategoryTitle>
            </c:ext>
            <c:ext xmlns:c16="http://schemas.microsoft.com/office/drawing/2014/chart" uri="{C3380CC4-5D6E-409C-BE32-E72D297353CC}">
              <c16:uniqueId val="{00000001-D00D-4505-88DC-27542FF5806B}"/>
            </c:ext>
          </c:extLst>
        </c:ser>
        <c:ser>
          <c:idx val="2"/>
          <c:order val="2"/>
          <c:tx>
            <c:strRef>
              <c:f>Operations!$S$297</c:f>
              <c:strCache>
                <c:ptCount val="1"/>
                <c:pt idx="0">
                  <c:v>Engineers</c:v>
                </c:pt>
              </c:strCache>
            </c:strRef>
          </c:tx>
          <c:val>
            <c:numRef>
              <c:f>Operations!$T$297:$Y$297</c:f>
            </c:numRef>
          </c:val>
          <c:extLst>
            <c:ext xmlns:c15="http://schemas.microsoft.com/office/drawing/2012/chart" uri="{02D57815-91ED-43cb-92C2-25804820EDAC}">
              <c15:filteredCategoryTitle>
                <c15:cat>
                  <c:multiLvlStrRef>
                    <c:extLst>
                      <c:ext uri="{02D57815-91ED-43cb-92C2-25804820EDAC}">
                        <c15:formulaRef>
                          <c15:sqref>Operations!$T$294:$Y$294</c15:sqref>
                        </c15:formulaRef>
                      </c:ext>
                    </c:extLst>
                  </c:multiLvlStrRef>
                </c15:cat>
              </c15:filteredCategoryTitle>
            </c:ext>
            <c:ext xmlns:c16="http://schemas.microsoft.com/office/drawing/2014/chart" uri="{C3380CC4-5D6E-409C-BE32-E72D297353CC}">
              <c16:uniqueId val="{00000002-D00D-4505-88DC-27542FF5806B}"/>
            </c:ext>
          </c:extLst>
        </c:ser>
        <c:ser>
          <c:idx val="3"/>
          <c:order val="3"/>
          <c:tx>
            <c:strRef>
              <c:f>Operations!$S$298</c:f>
              <c:strCache>
                <c:ptCount val="1"/>
                <c:pt idx="0">
                  <c:v>Sales</c:v>
                </c:pt>
              </c:strCache>
            </c:strRef>
          </c:tx>
          <c:val>
            <c:numRef>
              <c:f>Operations!$T$298:$Y$298</c:f>
            </c:numRef>
          </c:val>
          <c:extLst>
            <c:ext xmlns:c15="http://schemas.microsoft.com/office/drawing/2012/chart" uri="{02D57815-91ED-43cb-92C2-25804820EDAC}">
              <c15:filteredCategoryTitle>
                <c15:cat>
                  <c:multiLvlStrRef>
                    <c:extLst>
                      <c:ext uri="{02D57815-91ED-43cb-92C2-25804820EDAC}">
                        <c15:formulaRef>
                          <c15:sqref>Operations!$T$294:$Y$294</c15:sqref>
                        </c15:formulaRef>
                      </c:ext>
                    </c:extLst>
                  </c:multiLvlStrRef>
                </c15:cat>
              </c15:filteredCategoryTitle>
            </c:ext>
            <c:ext xmlns:c16="http://schemas.microsoft.com/office/drawing/2014/chart" uri="{C3380CC4-5D6E-409C-BE32-E72D297353CC}">
              <c16:uniqueId val="{00000003-D00D-4505-88DC-27542FF5806B}"/>
            </c:ext>
          </c:extLst>
        </c:ser>
        <c:ser>
          <c:idx val="4"/>
          <c:order val="4"/>
          <c:tx>
            <c:strRef>
              <c:f>Operations!$S$299</c:f>
              <c:strCache>
                <c:ptCount val="1"/>
                <c:pt idx="0">
                  <c:v>Admin</c:v>
                </c:pt>
              </c:strCache>
            </c:strRef>
          </c:tx>
          <c:val>
            <c:numRef>
              <c:f>Operations!$T$299:$Y$299</c:f>
            </c:numRef>
          </c:val>
          <c:extLst>
            <c:ext xmlns:c15="http://schemas.microsoft.com/office/drawing/2012/chart" uri="{02D57815-91ED-43cb-92C2-25804820EDAC}">
              <c15:filteredCategoryTitle>
                <c15:cat>
                  <c:multiLvlStrRef>
                    <c:extLst>
                      <c:ext uri="{02D57815-91ED-43cb-92C2-25804820EDAC}">
                        <c15:formulaRef>
                          <c15:sqref>Operations!$T$294:$Y$294</c15:sqref>
                        </c15:formulaRef>
                      </c:ext>
                    </c:extLst>
                  </c:multiLvlStrRef>
                </c15:cat>
              </c15:filteredCategoryTitle>
            </c:ext>
            <c:ext xmlns:c16="http://schemas.microsoft.com/office/drawing/2014/chart" uri="{C3380CC4-5D6E-409C-BE32-E72D297353CC}">
              <c16:uniqueId val="{00000004-D00D-4505-88DC-27542FF5806B}"/>
            </c:ext>
          </c:extLst>
        </c:ser>
        <c:ser>
          <c:idx val="5"/>
          <c:order val="5"/>
          <c:tx>
            <c:strRef>
              <c:f>Operations!$S$300</c:f>
              <c:strCache>
                <c:ptCount val="1"/>
                <c:pt idx="0">
                  <c:v>Finance</c:v>
                </c:pt>
              </c:strCache>
            </c:strRef>
          </c:tx>
          <c:val>
            <c:numRef>
              <c:f>Operations!$T$300:$Y$300</c:f>
            </c:numRef>
          </c:val>
          <c:extLst>
            <c:ext xmlns:c15="http://schemas.microsoft.com/office/drawing/2012/chart" uri="{02D57815-91ED-43cb-92C2-25804820EDAC}">
              <c15:filteredCategoryTitle>
                <c15:cat>
                  <c:multiLvlStrRef>
                    <c:extLst>
                      <c:ext uri="{02D57815-91ED-43cb-92C2-25804820EDAC}">
                        <c15:formulaRef>
                          <c15:sqref>Operations!$T$294:$Y$294</c15:sqref>
                        </c15:formulaRef>
                      </c:ext>
                    </c:extLst>
                  </c:multiLvlStrRef>
                </c15:cat>
              </c15:filteredCategoryTitle>
            </c:ext>
            <c:ext xmlns:c16="http://schemas.microsoft.com/office/drawing/2014/chart" uri="{C3380CC4-5D6E-409C-BE32-E72D297353CC}">
              <c16:uniqueId val="{00000005-D00D-4505-88DC-27542FF5806B}"/>
            </c:ext>
          </c:extLst>
        </c:ser>
        <c:dLbls>
          <c:showLegendKey val="0"/>
          <c:showVal val="0"/>
          <c:showCatName val="0"/>
          <c:showSerName val="0"/>
          <c:showPercent val="0"/>
          <c:showBubbleSize val="0"/>
        </c:dLbls>
        <c:axId val="217408304"/>
        <c:axId val="217408864"/>
      </c:areaChart>
      <c:catAx>
        <c:axId val="217408304"/>
        <c:scaling>
          <c:orientation val="minMax"/>
        </c:scaling>
        <c:delete val="0"/>
        <c:axPos val="b"/>
        <c:numFmt formatCode="mmm\ yyyy" sourceLinked="1"/>
        <c:majorTickMark val="out"/>
        <c:minorTickMark val="none"/>
        <c:tickLblPos val="nextTo"/>
        <c:crossAx val="217408864"/>
        <c:crosses val="autoZero"/>
        <c:auto val="1"/>
        <c:lblAlgn val="ctr"/>
        <c:lblOffset val="100"/>
        <c:noMultiLvlLbl val="1"/>
      </c:catAx>
      <c:valAx>
        <c:axId val="217408864"/>
        <c:scaling>
          <c:orientation val="minMax"/>
        </c:scaling>
        <c:delete val="0"/>
        <c:axPos val="l"/>
        <c:majorGridlines/>
        <c:title>
          <c:tx>
            <c:rich>
              <a:bodyPr rot="-5400000" vert="horz"/>
              <a:lstStyle/>
              <a:p>
                <a:pPr>
                  <a:defRPr/>
                </a:pPr>
                <a:r>
                  <a:rPr lang="en-US"/>
                  <a:t>Revenues (EUR)</a:t>
                </a:r>
              </a:p>
            </c:rich>
          </c:tx>
          <c:overlay val="0"/>
        </c:title>
        <c:numFmt formatCode="#,##0" sourceLinked="0"/>
        <c:majorTickMark val="out"/>
        <c:minorTickMark val="none"/>
        <c:tickLblPos val="nextTo"/>
        <c:crossAx val="217408304"/>
        <c:crosses val="autoZero"/>
        <c:crossBetween val="midCat"/>
        <c:dispUnits>
          <c:builtInUnit val="thousands"/>
          <c:dispUnitsLbl/>
        </c:dispUnits>
      </c:valAx>
    </c:plotArea>
    <c:legend>
      <c:legendPos val="b"/>
      <c:overlay val="0"/>
    </c:legend>
    <c:plotVisOnly val="1"/>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Operating Costs</a:t>
            </a:r>
            <a:r>
              <a:rPr lang="en-GB" sz="1200" b="0" baseline="0"/>
              <a:t> (excluding payroll)</a:t>
            </a:r>
            <a:endParaRPr lang="en-GB" b="0"/>
          </a:p>
        </c:rich>
      </c:tx>
      <c:overlay val="0"/>
    </c:title>
    <c:autoTitleDeleted val="0"/>
    <c:plotArea>
      <c:layout/>
      <c:barChart>
        <c:barDir val="col"/>
        <c:grouping val="percentStacked"/>
        <c:varyColors val="0"/>
        <c:ser>
          <c:idx val="0"/>
          <c:order val="0"/>
          <c:tx>
            <c:strRef>
              <c:f>Operations!$S$346</c:f>
              <c:strCache>
                <c:ptCount val="1"/>
                <c:pt idx="0">
                  <c:v>Initial Startup costs</c:v>
                </c:pt>
              </c:strCache>
            </c:strRef>
          </c:tx>
          <c:invertIfNegative val="0"/>
          <c:val>
            <c:numRef>
              <c:f>Operations!$T$346:$Y$346</c:f>
            </c:numRef>
          </c:val>
          <c:extLst>
            <c:ext xmlns:c15="http://schemas.microsoft.com/office/drawing/2012/chart" uri="{02D57815-91ED-43cb-92C2-25804820EDAC}">
              <c15:filteredCategoryTitle>
                <c15:cat>
                  <c:multiLvlStrRef>
                    <c:extLst>
                      <c:ext uri="{02D57815-91ED-43cb-92C2-25804820EDAC}">
                        <c15:formulaRef>
                          <c15:sqref>Operations!$T$345:$Y$345</c15:sqref>
                        </c15:formulaRef>
                      </c:ext>
                    </c:extLst>
                  </c:multiLvlStrRef>
                </c15:cat>
              </c15:filteredCategoryTitle>
            </c:ext>
            <c:ext xmlns:c16="http://schemas.microsoft.com/office/drawing/2014/chart" uri="{C3380CC4-5D6E-409C-BE32-E72D297353CC}">
              <c16:uniqueId val="{00000000-13ED-4E58-8EE3-A8A4578F7650}"/>
            </c:ext>
          </c:extLst>
        </c:ser>
        <c:ser>
          <c:idx val="1"/>
          <c:order val="1"/>
          <c:tx>
            <c:strRef>
              <c:f>Operations!$S$347</c:f>
              <c:strCache>
                <c:ptCount val="1"/>
                <c:pt idx="0">
                  <c:v>Professional Services</c:v>
                </c:pt>
              </c:strCache>
            </c:strRef>
          </c:tx>
          <c:invertIfNegative val="0"/>
          <c:val>
            <c:numRef>
              <c:f>Operations!$T$347:$Y$347</c:f>
            </c:numRef>
          </c:val>
          <c:extLst>
            <c:ext xmlns:c15="http://schemas.microsoft.com/office/drawing/2012/chart" uri="{02D57815-91ED-43cb-92C2-25804820EDAC}">
              <c15:filteredCategoryTitle>
                <c15:cat>
                  <c:multiLvlStrRef>
                    <c:extLst>
                      <c:ext uri="{02D57815-91ED-43cb-92C2-25804820EDAC}">
                        <c15:formulaRef>
                          <c15:sqref>Operations!$T$345:$Y$345</c15:sqref>
                        </c15:formulaRef>
                      </c:ext>
                    </c:extLst>
                  </c:multiLvlStrRef>
                </c15:cat>
              </c15:filteredCategoryTitle>
            </c:ext>
            <c:ext xmlns:c16="http://schemas.microsoft.com/office/drawing/2014/chart" uri="{C3380CC4-5D6E-409C-BE32-E72D297353CC}">
              <c16:uniqueId val="{00000001-13ED-4E58-8EE3-A8A4578F7650}"/>
            </c:ext>
          </c:extLst>
        </c:ser>
        <c:ser>
          <c:idx val="2"/>
          <c:order val="2"/>
          <c:tx>
            <c:strRef>
              <c:f>Operations!$S$348</c:f>
              <c:strCache>
                <c:ptCount val="1"/>
                <c:pt idx="0">
                  <c:v>Office</c:v>
                </c:pt>
              </c:strCache>
            </c:strRef>
          </c:tx>
          <c:invertIfNegative val="0"/>
          <c:val>
            <c:numRef>
              <c:f>Operations!$T$348:$Y$348</c:f>
            </c:numRef>
          </c:val>
          <c:extLst>
            <c:ext xmlns:c15="http://schemas.microsoft.com/office/drawing/2012/chart" uri="{02D57815-91ED-43cb-92C2-25804820EDAC}">
              <c15:filteredCategoryTitle>
                <c15:cat>
                  <c:multiLvlStrRef>
                    <c:extLst>
                      <c:ext uri="{02D57815-91ED-43cb-92C2-25804820EDAC}">
                        <c15:formulaRef>
                          <c15:sqref>Operations!$T$345:$Y$345</c15:sqref>
                        </c15:formulaRef>
                      </c:ext>
                    </c:extLst>
                  </c:multiLvlStrRef>
                </c15:cat>
              </c15:filteredCategoryTitle>
            </c:ext>
            <c:ext xmlns:c16="http://schemas.microsoft.com/office/drawing/2014/chart" uri="{C3380CC4-5D6E-409C-BE32-E72D297353CC}">
              <c16:uniqueId val="{00000002-13ED-4E58-8EE3-A8A4578F7650}"/>
            </c:ext>
          </c:extLst>
        </c:ser>
        <c:ser>
          <c:idx val="3"/>
          <c:order val="3"/>
          <c:tx>
            <c:strRef>
              <c:f>Operations!$S$349</c:f>
              <c:strCache>
                <c:ptCount val="1"/>
                <c:pt idx="0">
                  <c:v>R&amp;D Expenses</c:v>
                </c:pt>
              </c:strCache>
            </c:strRef>
          </c:tx>
          <c:invertIfNegative val="0"/>
          <c:val>
            <c:numRef>
              <c:f>Operations!$T$349:$Y$349</c:f>
            </c:numRef>
          </c:val>
          <c:extLst>
            <c:ext xmlns:c15="http://schemas.microsoft.com/office/drawing/2012/chart" uri="{02D57815-91ED-43cb-92C2-25804820EDAC}">
              <c15:filteredCategoryTitle>
                <c15:cat>
                  <c:multiLvlStrRef>
                    <c:extLst>
                      <c:ext uri="{02D57815-91ED-43cb-92C2-25804820EDAC}">
                        <c15:formulaRef>
                          <c15:sqref>Operations!$T$345:$Y$345</c15:sqref>
                        </c15:formulaRef>
                      </c:ext>
                    </c:extLst>
                  </c:multiLvlStrRef>
                </c15:cat>
              </c15:filteredCategoryTitle>
            </c:ext>
            <c:ext xmlns:c16="http://schemas.microsoft.com/office/drawing/2014/chart" uri="{C3380CC4-5D6E-409C-BE32-E72D297353CC}">
              <c16:uniqueId val="{00000003-13ED-4E58-8EE3-A8A4578F7650}"/>
            </c:ext>
          </c:extLst>
        </c:ser>
        <c:ser>
          <c:idx val="4"/>
          <c:order val="4"/>
          <c:tx>
            <c:strRef>
              <c:f>Operations!$S$350</c:f>
              <c:strCache>
                <c:ptCount val="1"/>
                <c:pt idx="0">
                  <c:v>Sales and Marketing</c:v>
                </c:pt>
              </c:strCache>
            </c:strRef>
          </c:tx>
          <c:invertIfNegative val="0"/>
          <c:val>
            <c:numRef>
              <c:f>Operations!$T$350:$Y$350</c:f>
            </c:numRef>
          </c:val>
          <c:extLst>
            <c:ext xmlns:c15="http://schemas.microsoft.com/office/drawing/2012/chart" uri="{02D57815-91ED-43cb-92C2-25804820EDAC}">
              <c15:filteredCategoryTitle>
                <c15:cat>
                  <c:multiLvlStrRef>
                    <c:extLst>
                      <c:ext uri="{02D57815-91ED-43cb-92C2-25804820EDAC}">
                        <c15:formulaRef>
                          <c15:sqref>Operations!$T$345:$Y$345</c15:sqref>
                        </c15:formulaRef>
                      </c:ext>
                    </c:extLst>
                  </c:multiLvlStrRef>
                </c15:cat>
              </c15:filteredCategoryTitle>
            </c:ext>
            <c:ext xmlns:c16="http://schemas.microsoft.com/office/drawing/2014/chart" uri="{C3380CC4-5D6E-409C-BE32-E72D297353CC}">
              <c16:uniqueId val="{00000004-13ED-4E58-8EE3-A8A4578F7650}"/>
            </c:ext>
          </c:extLst>
        </c:ser>
        <c:ser>
          <c:idx val="5"/>
          <c:order val="5"/>
          <c:tx>
            <c:strRef>
              <c:f>Operations!$S$351</c:f>
              <c:strCache>
                <c:ptCount val="1"/>
                <c:pt idx="0">
                  <c:v>Travel</c:v>
                </c:pt>
              </c:strCache>
            </c:strRef>
          </c:tx>
          <c:invertIfNegative val="0"/>
          <c:val>
            <c:numRef>
              <c:f>Operations!$T$351:$Y$351</c:f>
            </c:numRef>
          </c:val>
          <c:extLst>
            <c:ext xmlns:c15="http://schemas.microsoft.com/office/drawing/2012/chart" uri="{02D57815-91ED-43cb-92C2-25804820EDAC}">
              <c15:filteredCategoryTitle>
                <c15:cat>
                  <c:multiLvlStrRef>
                    <c:extLst>
                      <c:ext uri="{02D57815-91ED-43cb-92C2-25804820EDAC}">
                        <c15:formulaRef>
                          <c15:sqref>Operations!$T$345:$Y$345</c15:sqref>
                        </c15:formulaRef>
                      </c:ext>
                    </c:extLst>
                  </c:multiLvlStrRef>
                </c15:cat>
              </c15:filteredCategoryTitle>
            </c:ext>
            <c:ext xmlns:c16="http://schemas.microsoft.com/office/drawing/2014/chart" uri="{C3380CC4-5D6E-409C-BE32-E72D297353CC}">
              <c16:uniqueId val="{00000005-13ED-4E58-8EE3-A8A4578F7650}"/>
            </c:ext>
          </c:extLst>
        </c:ser>
        <c:ser>
          <c:idx val="6"/>
          <c:order val="6"/>
          <c:tx>
            <c:strRef>
              <c:f>Operations!$S$352</c:f>
              <c:strCache>
                <c:ptCount val="1"/>
                <c:pt idx="0">
                  <c:v>Administrative</c:v>
                </c:pt>
              </c:strCache>
            </c:strRef>
          </c:tx>
          <c:invertIfNegative val="0"/>
          <c:val>
            <c:numRef>
              <c:f>Operations!$T$352:$Y$352</c:f>
            </c:numRef>
          </c:val>
          <c:extLst>
            <c:ext xmlns:c15="http://schemas.microsoft.com/office/drawing/2012/chart" uri="{02D57815-91ED-43cb-92C2-25804820EDAC}">
              <c15:filteredCategoryTitle>
                <c15:cat>
                  <c:multiLvlStrRef>
                    <c:extLst>
                      <c:ext uri="{02D57815-91ED-43cb-92C2-25804820EDAC}">
                        <c15:formulaRef>
                          <c15:sqref>Operations!$T$345:$Y$345</c15:sqref>
                        </c15:formulaRef>
                      </c:ext>
                    </c:extLst>
                  </c:multiLvlStrRef>
                </c15:cat>
              </c15:filteredCategoryTitle>
            </c:ext>
            <c:ext xmlns:c16="http://schemas.microsoft.com/office/drawing/2014/chart" uri="{C3380CC4-5D6E-409C-BE32-E72D297353CC}">
              <c16:uniqueId val="{00000006-13ED-4E58-8EE3-A8A4578F7650}"/>
            </c:ext>
          </c:extLst>
        </c:ser>
        <c:ser>
          <c:idx val="7"/>
          <c:order val="7"/>
          <c:tx>
            <c:strRef>
              <c:f>Operations!$S$353</c:f>
              <c:strCache>
                <c:ptCount val="1"/>
                <c:pt idx="0">
                  <c:v>Other costs</c:v>
                </c:pt>
              </c:strCache>
            </c:strRef>
          </c:tx>
          <c:invertIfNegative val="0"/>
          <c:val>
            <c:numRef>
              <c:f>Operations!$T$353:$Y$353</c:f>
            </c:numRef>
          </c:val>
          <c:extLst>
            <c:ext xmlns:c15="http://schemas.microsoft.com/office/drawing/2012/chart" uri="{02D57815-91ED-43cb-92C2-25804820EDAC}">
              <c15:filteredCategoryTitle>
                <c15:cat>
                  <c:multiLvlStrRef>
                    <c:extLst>
                      <c:ext uri="{02D57815-91ED-43cb-92C2-25804820EDAC}">
                        <c15:formulaRef>
                          <c15:sqref>Operations!$T$345:$Y$345</c15:sqref>
                        </c15:formulaRef>
                      </c:ext>
                    </c:extLst>
                  </c:multiLvlStrRef>
                </c15:cat>
              </c15:filteredCategoryTitle>
            </c:ext>
            <c:ext xmlns:c16="http://schemas.microsoft.com/office/drawing/2014/chart" uri="{C3380CC4-5D6E-409C-BE32-E72D297353CC}">
              <c16:uniqueId val="{00000007-13ED-4E58-8EE3-A8A4578F7650}"/>
            </c:ext>
          </c:extLst>
        </c:ser>
        <c:dLbls>
          <c:showLegendKey val="0"/>
          <c:showVal val="0"/>
          <c:showCatName val="0"/>
          <c:showSerName val="0"/>
          <c:showPercent val="0"/>
          <c:showBubbleSize val="0"/>
        </c:dLbls>
        <c:gapWidth val="113"/>
        <c:overlap val="100"/>
        <c:axId val="217415584"/>
        <c:axId val="217811488"/>
      </c:barChart>
      <c:catAx>
        <c:axId val="217415584"/>
        <c:scaling>
          <c:orientation val="minMax"/>
        </c:scaling>
        <c:delete val="0"/>
        <c:axPos val="b"/>
        <c:numFmt formatCode="mmm\ yyyy" sourceLinked="1"/>
        <c:majorTickMark val="out"/>
        <c:minorTickMark val="none"/>
        <c:tickLblPos val="nextTo"/>
        <c:crossAx val="217811488"/>
        <c:crosses val="autoZero"/>
        <c:auto val="0"/>
        <c:lblAlgn val="ctr"/>
        <c:lblOffset val="100"/>
        <c:noMultiLvlLbl val="0"/>
      </c:catAx>
      <c:valAx>
        <c:axId val="217811488"/>
        <c:scaling>
          <c:orientation val="minMax"/>
        </c:scaling>
        <c:delete val="0"/>
        <c:axPos val="l"/>
        <c:majorGridlines/>
        <c:numFmt formatCode="0%" sourceLinked="1"/>
        <c:majorTickMark val="out"/>
        <c:minorTickMark val="none"/>
        <c:tickLblPos val="nextTo"/>
        <c:crossAx val="217415584"/>
        <c:crosses val="autoZero"/>
        <c:crossBetween val="between"/>
      </c:valAx>
    </c:plotArea>
    <c:legend>
      <c:legendPos val="b"/>
      <c:overlay val="0"/>
    </c:legend>
    <c:plotVisOnly val="1"/>
    <c:dispBlanksAs val="gap"/>
    <c:showDLblsOverMax val="0"/>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Quarterly Operating Costs (first two years)</a:t>
            </a:r>
          </a:p>
        </c:rich>
      </c:tx>
      <c:overlay val="0"/>
    </c:title>
    <c:autoTitleDeleted val="0"/>
    <c:plotArea>
      <c:layout>
        <c:manualLayout>
          <c:layoutTarget val="inner"/>
          <c:xMode val="edge"/>
          <c:yMode val="edge"/>
          <c:x val="0.18979418197725284"/>
          <c:y val="0.30610523146972218"/>
          <c:w val="0.72775437445319335"/>
          <c:h val="0.31691361160500092"/>
        </c:manualLayout>
      </c:layout>
      <c:scatterChart>
        <c:scatterStyle val="lineMarker"/>
        <c:varyColors val="0"/>
        <c:ser>
          <c:idx val="0"/>
          <c:order val="0"/>
          <c:tx>
            <c:strRef>
              <c:f>Operations!$C$339</c:f>
              <c:strCache>
                <c:ptCount val="1"/>
                <c:pt idx="0">
                  <c:v>Initial Startup costs</c:v>
                </c:pt>
              </c:strCache>
            </c:strRef>
          </c:tx>
          <c:xVal>
            <c:numRef>
              <c:f>Operations!$D$338:$K$338</c:f>
            </c:numRef>
          </c:xVal>
          <c:yVal>
            <c:numRef>
              <c:f>Operations!$D$339:$K$339</c:f>
            </c:numRef>
          </c:yVal>
          <c:smooth val="0"/>
          <c:extLst>
            <c:ext xmlns:c16="http://schemas.microsoft.com/office/drawing/2014/chart" uri="{C3380CC4-5D6E-409C-BE32-E72D297353CC}">
              <c16:uniqueId val="{00000000-18AE-4CE9-82A6-DBBF10520C5F}"/>
            </c:ext>
          </c:extLst>
        </c:ser>
        <c:ser>
          <c:idx val="1"/>
          <c:order val="1"/>
          <c:tx>
            <c:strRef>
              <c:f>Operations!$C$340</c:f>
              <c:strCache>
                <c:ptCount val="1"/>
                <c:pt idx="0">
                  <c:v>Professional Services</c:v>
                </c:pt>
              </c:strCache>
            </c:strRef>
          </c:tx>
          <c:xVal>
            <c:numRef>
              <c:f>Operations!$D$338:$K$338</c:f>
            </c:numRef>
          </c:xVal>
          <c:yVal>
            <c:numRef>
              <c:f>Operations!$D$340:$K$340</c:f>
            </c:numRef>
          </c:yVal>
          <c:smooth val="0"/>
          <c:extLst>
            <c:ext xmlns:c16="http://schemas.microsoft.com/office/drawing/2014/chart" uri="{C3380CC4-5D6E-409C-BE32-E72D297353CC}">
              <c16:uniqueId val="{00000001-18AE-4CE9-82A6-DBBF10520C5F}"/>
            </c:ext>
          </c:extLst>
        </c:ser>
        <c:ser>
          <c:idx val="2"/>
          <c:order val="2"/>
          <c:tx>
            <c:strRef>
              <c:f>Operations!$C$341</c:f>
              <c:strCache>
                <c:ptCount val="1"/>
                <c:pt idx="0">
                  <c:v>Office</c:v>
                </c:pt>
              </c:strCache>
            </c:strRef>
          </c:tx>
          <c:xVal>
            <c:numRef>
              <c:f>Operations!$D$338:$K$338</c:f>
            </c:numRef>
          </c:xVal>
          <c:yVal>
            <c:numRef>
              <c:f>Operations!$D$341:$K$341</c:f>
            </c:numRef>
          </c:yVal>
          <c:smooth val="0"/>
          <c:extLst>
            <c:ext xmlns:c16="http://schemas.microsoft.com/office/drawing/2014/chart" uri="{C3380CC4-5D6E-409C-BE32-E72D297353CC}">
              <c16:uniqueId val="{00000002-18AE-4CE9-82A6-DBBF10520C5F}"/>
            </c:ext>
          </c:extLst>
        </c:ser>
        <c:ser>
          <c:idx val="3"/>
          <c:order val="3"/>
          <c:tx>
            <c:strRef>
              <c:f>Operations!$C$342</c:f>
              <c:strCache>
                <c:ptCount val="1"/>
                <c:pt idx="0">
                  <c:v>R&amp;D Expenses</c:v>
                </c:pt>
              </c:strCache>
            </c:strRef>
          </c:tx>
          <c:xVal>
            <c:numRef>
              <c:f>Operations!$D$338:$K$338</c:f>
            </c:numRef>
          </c:xVal>
          <c:yVal>
            <c:numRef>
              <c:f>Operations!$D$342:$K$342</c:f>
            </c:numRef>
          </c:yVal>
          <c:smooth val="0"/>
          <c:extLst>
            <c:ext xmlns:c16="http://schemas.microsoft.com/office/drawing/2014/chart" uri="{C3380CC4-5D6E-409C-BE32-E72D297353CC}">
              <c16:uniqueId val="{00000003-18AE-4CE9-82A6-DBBF10520C5F}"/>
            </c:ext>
          </c:extLst>
        </c:ser>
        <c:ser>
          <c:idx val="4"/>
          <c:order val="4"/>
          <c:tx>
            <c:strRef>
              <c:f>Operations!$C$343</c:f>
              <c:strCache>
                <c:ptCount val="1"/>
                <c:pt idx="0">
                  <c:v>Sales and Marketing</c:v>
                </c:pt>
              </c:strCache>
            </c:strRef>
          </c:tx>
          <c:xVal>
            <c:numRef>
              <c:f>Operations!$D$338:$K$338</c:f>
            </c:numRef>
          </c:xVal>
          <c:yVal>
            <c:numRef>
              <c:f>Operations!$D$343:$K$343</c:f>
            </c:numRef>
          </c:yVal>
          <c:smooth val="0"/>
          <c:extLst>
            <c:ext xmlns:c16="http://schemas.microsoft.com/office/drawing/2014/chart" uri="{C3380CC4-5D6E-409C-BE32-E72D297353CC}">
              <c16:uniqueId val="{00000004-18AE-4CE9-82A6-DBBF10520C5F}"/>
            </c:ext>
          </c:extLst>
        </c:ser>
        <c:ser>
          <c:idx val="5"/>
          <c:order val="5"/>
          <c:tx>
            <c:strRef>
              <c:f>Operations!$C$344</c:f>
              <c:strCache>
                <c:ptCount val="1"/>
                <c:pt idx="0">
                  <c:v>Travel</c:v>
                </c:pt>
              </c:strCache>
            </c:strRef>
          </c:tx>
          <c:xVal>
            <c:numRef>
              <c:f>Operations!$D$338:$K$338</c:f>
            </c:numRef>
          </c:xVal>
          <c:yVal>
            <c:numRef>
              <c:f>Operations!$D$344:$K$344</c:f>
            </c:numRef>
          </c:yVal>
          <c:smooth val="0"/>
          <c:extLst>
            <c:ext xmlns:c16="http://schemas.microsoft.com/office/drawing/2014/chart" uri="{C3380CC4-5D6E-409C-BE32-E72D297353CC}">
              <c16:uniqueId val="{00000005-18AE-4CE9-82A6-DBBF10520C5F}"/>
            </c:ext>
          </c:extLst>
        </c:ser>
        <c:ser>
          <c:idx val="6"/>
          <c:order val="6"/>
          <c:tx>
            <c:strRef>
              <c:f>Operations!$C$345</c:f>
              <c:strCache>
                <c:ptCount val="1"/>
                <c:pt idx="0">
                  <c:v>Administrative</c:v>
                </c:pt>
              </c:strCache>
            </c:strRef>
          </c:tx>
          <c:xVal>
            <c:numRef>
              <c:f>Operations!$D$338:$K$338</c:f>
            </c:numRef>
          </c:xVal>
          <c:yVal>
            <c:numRef>
              <c:f>Operations!$D$345:$K$345</c:f>
            </c:numRef>
          </c:yVal>
          <c:smooth val="0"/>
          <c:extLst>
            <c:ext xmlns:c16="http://schemas.microsoft.com/office/drawing/2014/chart" uri="{C3380CC4-5D6E-409C-BE32-E72D297353CC}">
              <c16:uniqueId val="{00000006-18AE-4CE9-82A6-DBBF10520C5F}"/>
            </c:ext>
          </c:extLst>
        </c:ser>
        <c:ser>
          <c:idx val="7"/>
          <c:order val="7"/>
          <c:tx>
            <c:strRef>
              <c:f>Operations!$C$346</c:f>
              <c:strCache>
                <c:ptCount val="1"/>
                <c:pt idx="0">
                  <c:v>Other costs</c:v>
                </c:pt>
              </c:strCache>
            </c:strRef>
          </c:tx>
          <c:xVal>
            <c:numRef>
              <c:f>Operations!$D$338:$K$338</c:f>
            </c:numRef>
          </c:xVal>
          <c:yVal>
            <c:numRef>
              <c:f>Operations!$D$346:$K$346</c:f>
            </c:numRef>
          </c:yVal>
          <c:smooth val="0"/>
          <c:extLst>
            <c:ext xmlns:c16="http://schemas.microsoft.com/office/drawing/2014/chart" uri="{C3380CC4-5D6E-409C-BE32-E72D297353CC}">
              <c16:uniqueId val="{00000007-18AE-4CE9-82A6-DBBF10520C5F}"/>
            </c:ext>
          </c:extLst>
        </c:ser>
        <c:dLbls>
          <c:showLegendKey val="0"/>
          <c:showVal val="0"/>
          <c:showCatName val="0"/>
          <c:showSerName val="0"/>
          <c:showPercent val="0"/>
          <c:showBubbleSize val="0"/>
        </c:dLbls>
        <c:axId val="217818208"/>
        <c:axId val="217818768"/>
      </c:scatterChart>
      <c:valAx>
        <c:axId val="217818208"/>
        <c:scaling>
          <c:orientation val="minMax"/>
        </c:scaling>
        <c:delete val="0"/>
        <c:axPos val="b"/>
        <c:numFmt formatCode="mmm\ yyyy" sourceLinked="1"/>
        <c:majorTickMark val="out"/>
        <c:minorTickMark val="none"/>
        <c:tickLblPos val="nextTo"/>
        <c:crossAx val="217818768"/>
        <c:crosses val="autoZero"/>
        <c:crossBetween val="midCat"/>
      </c:valAx>
      <c:valAx>
        <c:axId val="217818768"/>
        <c:scaling>
          <c:orientation val="minMax"/>
        </c:scaling>
        <c:delete val="0"/>
        <c:axPos val="l"/>
        <c:majorGridlines/>
        <c:title>
          <c:tx>
            <c:rich>
              <a:bodyPr rot="-5400000" vert="horz"/>
              <a:lstStyle/>
              <a:p>
                <a:pPr>
                  <a:defRPr/>
                </a:pPr>
                <a:r>
                  <a:rPr lang="en-US"/>
                  <a:t>Operating Expenses (EUR)</a:t>
                </a:r>
              </a:p>
            </c:rich>
          </c:tx>
          <c:layout>
            <c:manualLayout>
              <c:xMode val="edge"/>
              <c:yMode val="edge"/>
              <c:x val="3.3333333333333333E-2"/>
              <c:y val="0.2970725971081572"/>
            </c:manualLayout>
          </c:layout>
          <c:overlay val="0"/>
        </c:title>
        <c:numFmt formatCode="#,##0" sourceLinked="0"/>
        <c:majorTickMark val="out"/>
        <c:minorTickMark val="none"/>
        <c:tickLblPos val="nextTo"/>
        <c:crossAx val="217818208"/>
        <c:crosses val="autoZero"/>
        <c:crossBetween val="midCat"/>
        <c:dispUnits>
          <c:builtInUnit val="thousands"/>
          <c:dispUnitsLbl/>
        </c:dispUnits>
      </c:valAx>
    </c:plotArea>
    <c:legend>
      <c:legendPos val="b"/>
      <c:layout>
        <c:manualLayout>
          <c:xMode val="edge"/>
          <c:yMode val="edge"/>
          <c:x val="0.19744291338582678"/>
          <c:y val="0.73318206191967938"/>
          <c:w val="0.76622528433945769"/>
          <c:h val="0.23814410295487257"/>
        </c:manualLayout>
      </c:layout>
      <c:overlay val="0"/>
    </c:legend>
    <c:plotVisOnly val="1"/>
    <c:dispBlanksAs val="zero"/>
    <c:showDLblsOverMax val="0"/>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Capital Expenditure - Impact on Cashflow</a:t>
            </a:r>
          </a:p>
        </c:rich>
      </c:tx>
      <c:overlay val="0"/>
    </c:title>
    <c:autoTitleDeleted val="0"/>
    <c:plotArea>
      <c:layout>
        <c:manualLayout>
          <c:layoutTarget val="inner"/>
          <c:xMode val="edge"/>
          <c:yMode val="edge"/>
          <c:x val="0.18979418197725284"/>
          <c:y val="0.28404665048797945"/>
          <c:w val="0.7796502624671916"/>
          <c:h val="0.41700852610814954"/>
        </c:manualLayout>
      </c:layout>
      <c:barChart>
        <c:barDir val="col"/>
        <c:grouping val="stacked"/>
        <c:varyColors val="0"/>
        <c:ser>
          <c:idx val="0"/>
          <c:order val="0"/>
          <c:tx>
            <c:strRef>
              <c:f>Operations!$T$419</c:f>
              <c:strCache>
                <c:ptCount val="1"/>
                <c:pt idx="0">
                  <c:v>Jan 2026</c:v>
                </c:pt>
              </c:strCache>
            </c:strRef>
          </c:tx>
          <c:invertIfNegative val="0"/>
          <c:cat>
            <c:multiLvlStrRef>
              <c:f>Operations!$S$420:$S$429</c:f>
            </c:multiLvlStrRef>
          </c:cat>
          <c:val>
            <c:numRef>
              <c:f>Operations!$T$420:$T$429</c:f>
            </c:numRef>
          </c:val>
          <c:extLst>
            <c:ext xmlns:c16="http://schemas.microsoft.com/office/drawing/2014/chart" uri="{C3380CC4-5D6E-409C-BE32-E72D297353CC}">
              <c16:uniqueId val="{00000000-53AF-4809-8748-24495CA8DF7F}"/>
            </c:ext>
          </c:extLst>
        </c:ser>
        <c:ser>
          <c:idx val="1"/>
          <c:order val="1"/>
          <c:tx>
            <c:strRef>
              <c:f>Operations!$U$419</c:f>
              <c:strCache>
                <c:ptCount val="1"/>
                <c:pt idx="0">
                  <c:v>Jan 2027</c:v>
                </c:pt>
              </c:strCache>
            </c:strRef>
          </c:tx>
          <c:invertIfNegative val="0"/>
          <c:cat>
            <c:multiLvlStrRef>
              <c:f>Operations!$S$420:$S$429</c:f>
            </c:multiLvlStrRef>
          </c:cat>
          <c:val>
            <c:numRef>
              <c:f>Operations!$U$420:$U$429</c:f>
            </c:numRef>
          </c:val>
          <c:extLst>
            <c:ext xmlns:c16="http://schemas.microsoft.com/office/drawing/2014/chart" uri="{C3380CC4-5D6E-409C-BE32-E72D297353CC}">
              <c16:uniqueId val="{00000001-53AF-4809-8748-24495CA8DF7F}"/>
            </c:ext>
          </c:extLst>
        </c:ser>
        <c:ser>
          <c:idx val="2"/>
          <c:order val="2"/>
          <c:tx>
            <c:strRef>
              <c:f>Operations!$V$419</c:f>
              <c:strCache>
                <c:ptCount val="1"/>
                <c:pt idx="0">
                  <c:v>Jan 2028</c:v>
                </c:pt>
              </c:strCache>
            </c:strRef>
          </c:tx>
          <c:invertIfNegative val="0"/>
          <c:cat>
            <c:multiLvlStrRef>
              <c:f>Operations!$S$420:$S$429</c:f>
            </c:multiLvlStrRef>
          </c:cat>
          <c:val>
            <c:numRef>
              <c:f>Operations!$V$420:$V$429</c:f>
            </c:numRef>
          </c:val>
          <c:extLst>
            <c:ext xmlns:c16="http://schemas.microsoft.com/office/drawing/2014/chart" uri="{C3380CC4-5D6E-409C-BE32-E72D297353CC}">
              <c16:uniqueId val="{00000002-53AF-4809-8748-24495CA8DF7F}"/>
            </c:ext>
          </c:extLst>
        </c:ser>
        <c:ser>
          <c:idx val="3"/>
          <c:order val="3"/>
          <c:tx>
            <c:strRef>
              <c:f>Operations!$W$419</c:f>
              <c:strCache>
                <c:ptCount val="1"/>
                <c:pt idx="0">
                  <c:v>Jan 2029</c:v>
                </c:pt>
              </c:strCache>
            </c:strRef>
          </c:tx>
          <c:invertIfNegative val="0"/>
          <c:cat>
            <c:multiLvlStrRef>
              <c:f>Operations!$S$420:$S$429</c:f>
            </c:multiLvlStrRef>
          </c:cat>
          <c:val>
            <c:numRef>
              <c:f>Operations!$W$420:$W$429</c:f>
            </c:numRef>
          </c:val>
          <c:extLst>
            <c:ext xmlns:c16="http://schemas.microsoft.com/office/drawing/2014/chart" uri="{C3380CC4-5D6E-409C-BE32-E72D297353CC}">
              <c16:uniqueId val="{00000003-53AF-4809-8748-24495CA8DF7F}"/>
            </c:ext>
          </c:extLst>
        </c:ser>
        <c:ser>
          <c:idx val="4"/>
          <c:order val="4"/>
          <c:tx>
            <c:strRef>
              <c:f>Operations!$X$419</c:f>
              <c:strCache>
                <c:ptCount val="1"/>
                <c:pt idx="0">
                  <c:v>Jan 2030</c:v>
                </c:pt>
              </c:strCache>
            </c:strRef>
          </c:tx>
          <c:invertIfNegative val="0"/>
          <c:cat>
            <c:multiLvlStrRef>
              <c:f>Operations!$S$420:$S$429</c:f>
            </c:multiLvlStrRef>
          </c:cat>
          <c:val>
            <c:numRef>
              <c:f>Operations!$X$420:$X$429</c:f>
            </c:numRef>
          </c:val>
          <c:extLst>
            <c:ext xmlns:c16="http://schemas.microsoft.com/office/drawing/2014/chart" uri="{C3380CC4-5D6E-409C-BE32-E72D297353CC}">
              <c16:uniqueId val="{00000004-53AF-4809-8748-24495CA8DF7F}"/>
            </c:ext>
          </c:extLst>
        </c:ser>
        <c:ser>
          <c:idx val="5"/>
          <c:order val="5"/>
          <c:tx>
            <c:strRef>
              <c:f>Operations!$Y$419</c:f>
              <c:strCache>
                <c:ptCount val="1"/>
                <c:pt idx="0">
                  <c:v>Jan 2031</c:v>
                </c:pt>
              </c:strCache>
            </c:strRef>
          </c:tx>
          <c:invertIfNegative val="0"/>
          <c:cat>
            <c:multiLvlStrRef>
              <c:f>Operations!$S$420:$S$429</c:f>
            </c:multiLvlStrRef>
          </c:cat>
          <c:val>
            <c:numRef>
              <c:f>Operations!$Y$420:$Y$429</c:f>
            </c:numRef>
          </c:val>
          <c:extLst>
            <c:ext xmlns:c16="http://schemas.microsoft.com/office/drawing/2014/chart" uri="{C3380CC4-5D6E-409C-BE32-E72D297353CC}">
              <c16:uniqueId val="{00000005-53AF-4809-8748-24495CA8DF7F}"/>
            </c:ext>
          </c:extLst>
        </c:ser>
        <c:dLbls>
          <c:showLegendKey val="0"/>
          <c:showVal val="0"/>
          <c:showCatName val="0"/>
          <c:showSerName val="0"/>
          <c:showPercent val="0"/>
          <c:showBubbleSize val="0"/>
        </c:dLbls>
        <c:gapWidth val="41"/>
        <c:overlap val="100"/>
        <c:axId val="217826608"/>
        <c:axId val="217827168"/>
      </c:barChart>
      <c:catAx>
        <c:axId val="217826608"/>
        <c:scaling>
          <c:orientation val="minMax"/>
        </c:scaling>
        <c:delete val="0"/>
        <c:axPos val="b"/>
        <c:numFmt formatCode="General" sourceLinked="1"/>
        <c:majorTickMark val="out"/>
        <c:minorTickMark val="none"/>
        <c:tickLblPos val="nextTo"/>
        <c:crossAx val="217827168"/>
        <c:crosses val="autoZero"/>
        <c:auto val="0"/>
        <c:lblAlgn val="ctr"/>
        <c:lblOffset val="100"/>
        <c:noMultiLvlLbl val="0"/>
      </c:catAx>
      <c:valAx>
        <c:axId val="217827168"/>
        <c:scaling>
          <c:orientation val="minMax"/>
        </c:scaling>
        <c:delete val="0"/>
        <c:axPos val="l"/>
        <c:majorGridlines/>
        <c:title>
          <c:tx>
            <c:rich>
              <a:bodyPr rot="-5400000" vert="horz"/>
              <a:lstStyle/>
              <a:p>
                <a:pPr>
                  <a:defRPr/>
                </a:pPr>
                <a:r>
                  <a:rPr lang="en-US"/>
                  <a:t>Capital Expenditure (EUR)</a:t>
                </a:r>
              </a:p>
            </c:rich>
          </c:tx>
          <c:layout>
            <c:manualLayout>
              <c:xMode val="edge"/>
              <c:yMode val="edge"/>
              <c:x val="3.0555555555555555E-2"/>
              <c:y val="0.26839883373780049"/>
            </c:manualLayout>
          </c:layout>
          <c:overlay val="0"/>
        </c:title>
        <c:numFmt formatCode="#,##0" sourceLinked="0"/>
        <c:majorTickMark val="out"/>
        <c:minorTickMark val="none"/>
        <c:tickLblPos val="nextTo"/>
        <c:crossAx val="217826608"/>
        <c:crosses val="autoZero"/>
        <c:crossBetween val="between"/>
        <c:dispUnits>
          <c:builtInUnit val="thousands"/>
          <c:dispUnitsLbl/>
        </c:dispUnits>
      </c:valAx>
    </c:plotArea>
    <c:legend>
      <c:legendPos val="b"/>
      <c:layout>
        <c:manualLayout>
          <c:xMode val="edge"/>
          <c:yMode val="edge"/>
          <c:x val="0.1075"/>
          <c:y val="0.83666672486338323"/>
          <c:w val="0.89249999999999996"/>
          <c:h val="7.4415281423155441E-2"/>
        </c:manualLayout>
      </c:layout>
      <c:overlay val="0"/>
    </c:legend>
    <c:plotVisOnly val="1"/>
    <c:dispBlanksAs val="zero"/>
    <c:showDLblsOverMax val="0"/>
  </c:chart>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Capital Expenditure - Impact on Balance Sheet</a:t>
            </a:r>
          </a:p>
        </c:rich>
      </c:tx>
      <c:overlay val="0"/>
    </c:title>
    <c:autoTitleDeleted val="0"/>
    <c:plotArea>
      <c:layout>
        <c:manualLayout>
          <c:layoutTarget val="inner"/>
          <c:xMode val="edge"/>
          <c:yMode val="edge"/>
          <c:x val="0.18438451443569553"/>
          <c:y val="0.24652317147035796"/>
          <c:w val="0.74631692913385828"/>
          <c:h val="0.43744840525328332"/>
        </c:manualLayout>
      </c:layout>
      <c:scatterChart>
        <c:scatterStyle val="lineMarker"/>
        <c:varyColors val="0"/>
        <c:ser>
          <c:idx val="0"/>
          <c:order val="0"/>
          <c:tx>
            <c:strRef>
              <c:f>Operations!$S$438</c:f>
              <c:strCache>
                <c:ptCount val="1"/>
                <c:pt idx="0">
                  <c:v>Office Laptops</c:v>
                </c:pt>
              </c:strCache>
            </c:strRef>
          </c:tx>
          <c:xVal>
            <c:numRef>
              <c:f>Operations!$T$437:$Y$437</c:f>
            </c:numRef>
          </c:xVal>
          <c:yVal>
            <c:numRef>
              <c:f>Operations!$T$438:$Y$438</c:f>
            </c:numRef>
          </c:yVal>
          <c:smooth val="0"/>
          <c:extLst>
            <c:ext xmlns:c16="http://schemas.microsoft.com/office/drawing/2014/chart" uri="{C3380CC4-5D6E-409C-BE32-E72D297353CC}">
              <c16:uniqueId val="{00000000-AF71-4F68-9BFE-958F80AD03FE}"/>
            </c:ext>
          </c:extLst>
        </c:ser>
        <c:ser>
          <c:idx val="1"/>
          <c:order val="1"/>
          <c:tx>
            <c:strRef>
              <c:f>Operations!$S$439</c:f>
              <c:strCache>
                <c:ptCount val="1"/>
                <c:pt idx="0">
                  <c:v>Company Vehicle</c:v>
                </c:pt>
              </c:strCache>
            </c:strRef>
          </c:tx>
          <c:xVal>
            <c:numRef>
              <c:f>Operations!$T$437:$Y$437</c:f>
            </c:numRef>
          </c:xVal>
          <c:yVal>
            <c:numRef>
              <c:f>Operations!$T$439:$Y$439</c:f>
            </c:numRef>
          </c:yVal>
          <c:smooth val="0"/>
          <c:extLst>
            <c:ext xmlns:c16="http://schemas.microsoft.com/office/drawing/2014/chart" uri="{C3380CC4-5D6E-409C-BE32-E72D297353CC}">
              <c16:uniqueId val="{00000001-AF71-4F68-9BFE-958F80AD03FE}"/>
            </c:ext>
          </c:extLst>
        </c:ser>
        <c:ser>
          <c:idx val="2"/>
          <c:order val="2"/>
          <c:tx>
            <c:strRef>
              <c:f>Operations!$S$440</c:f>
              <c:strCache>
                <c:ptCount val="1"/>
                <c:pt idx="0">
                  <c:v>Office Furniture</c:v>
                </c:pt>
              </c:strCache>
            </c:strRef>
          </c:tx>
          <c:xVal>
            <c:numRef>
              <c:f>Operations!$T$437:$Y$437</c:f>
            </c:numRef>
          </c:xVal>
          <c:yVal>
            <c:numRef>
              <c:f>Operations!$T$440:$Y$440</c:f>
            </c:numRef>
          </c:yVal>
          <c:smooth val="0"/>
          <c:extLst>
            <c:ext xmlns:c16="http://schemas.microsoft.com/office/drawing/2014/chart" uri="{C3380CC4-5D6E-409C-BE32-E72D297353CC}">
              <c16:uniqueId val="{00000002-AF71-4F68-9BFE-958F80AD03FE}"/>
            </c:ext>
          </c:extLst>
        </c:ser>
        <c:ser>
          <c:idx val="3"/>
          <c:order val="3"/>
          <c:tx>
            <c:strRef>
              <c:f>Operations!$S$441</c:f>
              <c:strCache>
                <c:ptCount val="1"/>
                <c:pt idx="0">
                  <c:v>-</c:v>
                </c:pt>
              </c:strCache>
            </c:strRef>
          </c:tx>
          <c:xVal>
            <c:numRef>
              <c:f>Operations!$T$437:$Y$437</c:f>
            </c:numRef>
          </c:xVal>
          <c:yVal>
            <c:numRef>
              <c:f>Operations!$T$441:$Y$441</c:f>
            </c:numRef>
          </c:yVal>
          <c:smooth val="0"/>
          <c:extLst>
            <c:ext xmlns:c16="http://schemas.microsoft.com/office/drawing/2014/chart" uri="{C3380CC4-5D6E-409C-BE32-E72D297353CC}">
              <c16:uniqueId val="{00000003-AF71-4F68-9BFE-958F80AD03FE}"/>
            </c:ext>
          </c:extLst>
        </c:ser>
        <c:ser>
          <c:idx val="4"/>
          <c:order val="4"/>
          <c:tx>
            <c:strRef>
              <c:f>Operations!$S$442</c:f>
              <c:strCache>
                <c:ptCount val="1"/>
                <c:pt idx="0">
                  <c:v>-</c:v>
                </c:pt>
              </c:strCache>
            </c:strRef>
          </c:tx>
          <c:xVal>
            <c:numRef>
              <c:f>Operations!$T$437:$Y$437</c:f>
            </c:numRef>
          </c:xVal>
          <c:yVal>
            <c:numRef>
              <c:f>Operations!$T$442:$Y$442</c:f>
            </c:numRef>
          </c:yVal>
          <c:smooth val="0"/>
          <c:extLst>
            <c:ext xmlns:c16="http://schemas.microsoft.com/office/drawing/2014/chart" uri="{C3380CC4-5D6E-409C-BE32-E72D297353CC}">
              <c16:uniqueId val="{00000004-AF71-4F68-9BFE-958F80AD03FE}"/>
            </c:ext>
          </c:extLst>
        </c:ser>
        <c:ser>
          <c:idx val="5"/>
          <c:order val="5"/>
          <c:tx>
            <c:strRef>
              <c:f>Operations!$S$443</c:f>
              <c:strCache>
                <c:ptCount val="1"/>
                <c:pt idx="0">
                  <c:v>-</c:v>
                </c:pt>
              </c:strCache>
            </c:strRef>
          </c:tx>
          <c:xVal>
            <c:numRef>
              <c:f>Operations!$T$437:$Y$437</c:f>
            </c:numRef>
          </c:xVal>
          <c:yVal>
            <c:numRef>
              <c:f>Operations!$T$443:$Y$443</c:f>
            </c:numRef>
          </c:yVal>
          <c:smooth val="0"/>
          <c:extLst>
            <c:ext xmlns:c16="http://schemas.microsoft.com/office/drawing/2014/chart" uri="{C3380CC4-5D6E-409C-BE32-E72D297353CC}">
              <c16:uniqueId val="{00000005-AF71-4F68-9BFE-958F80AD03FE}"/>
            </c:ext>
          </c:extLst>
        </c:ser>
        <c:ser>
          <c:idx val="6"/>
          <c:order val="6"/>
          <c:tx>
            <c:strRef>
              <c:f>Operations!$S$444</c:f>
              <c:strCache>
                <c:ptCount val="1"/>
                <c:pt idx="0">
                  <c:v>-</c:v>
                </c:pt>
              </c:strCache>
            </c:strRef>
          </c:tx>
          <c:xVal>
            <c:numRef>
              <c:f>Operations!$T$437:$Y$437</c:f>
            </c:numRef>
          </c:xVal>
          <c:yVal>
            <c:numRef>
              <c:f>Operations!$T$444:$Y$444</c:f>
            </c:numRef>
          </c:yVal>
          <c:smooth val="0"/>
          <c:extLst>
            <c:ext xmlns:c16="http://schemas.microsoft.com/office/drawing/2014/chart" uri="{C3380CC4-5D6E-409C-BE32-E72D297353CC}">
              <c16:uniqueId val="{00000006-AF71-4F68-9BFE-958F80AD03FE}"/>
            </c:ext>
          </c:extLst>
        </c:ser>
        <c:ser>
          <c:idx val="7"/>
          <c:order val="7"/>
          <c:tx>
            <c:strRef>
              <c:f>Operations!$S$445</c:f>
              <c:strCache>
                <c:ptCount val="1"/>
                <c:pt idx="0">
                  <c:v>-</c:v>
                </c:pt>
              </c:strCache>
            </c:strRef>
          </c:tx>
          <c:xVal>
            <c:numRef>
              <c:f>Operations!$T$437:$Y$437</c:f>
            </c:numRef>
          </c:xVal>
          <c:yVal>
            <c:numRef>
              <c:f>Operations!$T$445:$Y$445</c:f>
            </c:numRef>
          </c:yVal>
          <c:smooth val="0"/>
          <c:extLst>
            <c:ext xmlns:c16="http://schemas.microsoft.com/office/drawing/2014/chart" uri="{C3380CC4-5D6E-409C-BE32-E72D297353CC}">
              <c16:uniqueId val="{00000007-AF71-4F68-9BFE-958F80AD03FE}"/>
            </c:ext>
          </c:extLst>
        </c:ser>
        <c:ser>
          <c:idx val="8"/>
          <c:order val="8"/>
          <c:tx>
            <c:strRef>
              <c:f>Operations!$S$446</c:f>
              <c:strCache>
                <c:ptCount val="1"/>
                <c:pt idx="0">
                  <c:v>-</c:v>
                </c:pt>
              </c:strCache>
            </c:strRef>
          </c:tx>
          <c:xVal>
            <c:numRef>
              <c:f>Operations!$T$437:$Y$437</c:f>
            </c:numRef>
          </c:xVal>
          <c:yVal>
            <c:numRef>
              <c:f>Operations!$T$446:$Y$446</c:f>
            </c:numRef>
          </c:yVal>
          <c:smooth val="0"/>
          <c:extLst>
            <c:ext xmlns:c16="http://schemas.microsoft.com/office/drawing/2014/chart" uri="{C3380CC4-5D6E-409C-BE32-E72D297353CC}">
              <c16:uniqueId val="{00000008-AF71-4F68-9BFE-958F80AD03FE}"/>
            </c:ext>
          </c:extLst>
        </c:ser>
        <c:ser>
          <c:idx val="9"/>
          <c:order val="9"/>
          <c:tx>
            <c:strRef>
              <c:f>Operations!$S$447</c:f>
              <c:strCache>
                <c:ptCount val="1"/>
                <c:pt idx="0">
                  <c:v>Empty</c:v>
                </c:pt>
              </c:strCache>
            </c:strRef>
          </c:tx>
          <c:xVal>
            <c:numRef>
              <c:f>Operations!$T$437:$Y$437</c:f>
            </c:numRef>
          </c:xVal>
          <c:yVal>
            <c:numRef>
              <c:f>Operations!$T$447:$Y$447</c:f>
            </c:numRef>
          </c:yVal>
          <c:smooth val="0"/>
          <c:extLst>
            <c:ext xmlns:c16="http://schemas.microsoft.com/office/drawing/2014/chart" uri="{C3380CC4-5D6E-409C-BE32-E72D297353CC}">
              <c16:uniqueId val="{00000009-AF71-4F68-9BFE-958F80AD03FE}"/>
            </c:ext>
          </c:extLst>
        </c:ser>
        <c:dLbls>
          <c:showLegendKey val="0"/>
          <c:showVal val="0"/>
          <c:showCatName val="0"/>
          <c:showSerName val="0"/>
          <c:showPercent val="0"/>
          <c:showBubbleSize val="0"/>
        </c:dLbls>
        <c:axId val="219011504"/>
        <c:axId val="219012064"/>
      </c:scatterChart>
      <c:valAx>
        <c:axId val="219011504"/>
        <c:scaling>
          <c:orientation val="minMax"/>
        </c:scaling>
        <c:delete val="0"/>
        <c:axPos val="b"/>
        <c:numFmt formatCode="mmm\ yyyy" sourceLinked="1"/>
        <c:majorTickMark val="out"/>
        <c:minorTickMark val="none"/>
        <c:tickLblPos val="nextTo"/>
        <c:crossAx val="219012064"/>
        <c:crosses val="autoZero"/>
        <c:crossBetween val="midCat"/>
      </c:valAx>
      <c:valAx>
        <c:axId val="219012064"/>
        <c:scaling>
          <c:orientation val="minMax"/>
          <c:min val="0"/>
        </c:scaling>
        <c:delete val="0"/>
        <c:axPos val="l"/>
        <c:majorGridlines/>
        <c:title>
          <c:tx>
            <c:rich>
              <a:bodyPr rot="-5400000" vert="horz"/>
              <a:lstStyle/>
              <a:p>
                <a:pPr>
                  <a:defRPr/>
                </a:pPr>
                <a:r>
                  <a:rPr lang="en-US"/>
                  <a:t>Capital Asset Value</a:t>
                </a:r>
              </a:p>
            </c:rich>
          </c:tx>
          <c:layout>
            <c:manualLayout>
              <c:xMode val="edge"/>
              <c:yMode val="edge"/>
              <c:x val="3.3333333333333333E-2"/>
              <c:y val="0.3321886218256489"/>
            </c:manualLayout>
          </c:layout>
          <c:overlay val="0"/>
        </c:title>
        <c:numFmt formatCode="#,##0" sourceLinked="0"/>
        <c:majorTickMark val="out"/>
        <c:minorTickMark val="none"/>
        <c:tickLblPos val="nextTo"/>
        <c:crossAx val="219011504"/>
        <c:crosses val="autoZero"/>
        <c:crossBetween val="midCat"/>
        <c:dispUnits>
          <c:builtInUnit val="thousands"/>
          <c:dispUnitsLbl/>
        </c:dispUnits>
      </c:valAx>
    </c:plotArea>
    <c:legend>
      <c:legendPos val="b"/>
      <c:layout>
        <c:manualLayout>
          <c:xMode val="edge"/>
          <c:yMode val="edge"/>
          <c:x val="0.1075"/>
          <c:y val="0.80869458945126316"/>
          <c:w val="0.89249999999999996"/>
          <c:h val="0.19130541054873684"/>
        </c:manualLayout>
      </c:layout>
      <c:overlay val="0"/>
    </c:legend>
    <c:plotVisOnly val="1"/>
    <c:dispBlanksAs val="zero"/>
    <c:showDLblsOverMax val="0"/>
  </c:chart>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Capital Expenditure - Depreciation</a:t>
            </a:r>
          </a:p>
        </c:rich>
      </c:tx>
      <c:overlay val="0"/>
    </c:title>
    <c:autoTitleDeleted val="0"/>
    <c:plotArea>
      <c:layout>
        <c:manualLayout>
          <c:layoutTarget val="inner"/>
          <c:xMode val="edge"/>
          <c:yMode val="edge"/>
          <c:x val="0.17049562554680664"/>
          <c:y val="0.24652317147035796"/>
          <c:w val="0.76020581802274712"/>
          <c:h val="0.43744840525328332"/>
        </c:manualLayout>
      </c:layout>
      <c:scatterChart>
        <c:scatterStyle val="lineMarker"/>
        <c:varyColors val="0"/>
        <c:ser>
          <c:idx val="0"/>
          <c:order val="0"/>
          <c:tx>
            <c:strRef>
              <c:f>Operations!$S$402</c:f>
              <c:strCache>
                <c:ptCount val="1"/>
                <c:pt idx="0">
                  <c:v>Office Laptops</c:v>
                </c:pt>
              </c:strCache>
            </c:strRef>
          </c:tx>
          <c:xVal>
            <c:numRef>
              <c:f>Operations!$T$401:$Y$401</c:f>
            </c:numRef>
          </c:xVal>
          <c:yVal>
            <c:numRef>
              <c:f>Operations!$T$402:$Y$402</c:f>
            </c:numRef>
          </c:yVal>
          <c:smooth val="0"/>
          <c:extLst>
            <c:ext xmlns:c16="http://schemas.microsoft.com/office/drawing/2014/chart" uri="{C3380CC4-5D6E-409C-BE32-E72D297353CC}">
              <c16:uniqueId val="{00000000-99BD-4AFD-95D5-6CA71AB1962B}"/>
            </c:ext>
          </c:extLst>
        </c:ser>
        <c:ser>
          <c:idx val="1"/>
          <c:order val="1"/>
          <c:tx>
            <c:strRef>
              <c:f>Operations!$S$403</c:f>
              <c:strCache>
                <c:ptCount val="1"/>
                <c:pt idx="0">
                  <c:v>Company Vehicle</c:v>
                </c:pt>
              </c:strCache>
            </c:strRef>
          </c:tx>
          <c:xVal>
            <c:numRef>
              <c:f>Operations!$T$401:$Y$401</c:f>
            </c:numRef>
          </c:xVal>
          <c:yVal>
            <c:numRef>
              <c:f>Operations!$T$403:$Y$403</c:f>
            </c:numRef>
          </c:yVal>
          <c:smooth val="0"/>
          <c:extLst>
            <c:ext xmlns:c16="http://schemas.microsoft.com/office/drawing/2014/chart" uri="{C3380CC4-5D6E-409C-BE32-E72D297353CC}">
              <c16:uniqueId val="{00000001-99BD-4AFD-95D5-6CA71AB1962B}"/>
            </c:ext>
          </c:extLst>
        </c:ser>
        <c:ser>
          <c:idx val="2"/>
          <c:order val="2"/>
          <c:tx>
            <c:strRef>
              <c:f>Operations!$S$404</c:f>
              <c:strCache>
                <c:ptCount val="1"/>
                <c:pt idx="0">
                  <c:v>Office Furniture</c:v>
                </c:pt>
              </c:strCache>
            </c:strRef>
          </c:tx>
          <c:xVal>
            <c:numRef>
              <c:f>Operations!$T$401:$Y$401</c:f>
            </c:numRef>
          </c:xVal>
          <c:yVal>
            <c:numRef>
              <c:f>Operations!$T$404:$Y$404</c:f>
            </c:numRef>
          </c:yVal>
          <c:smooth val="0"/>
          <c:extLst>
            <c:ext xmlns:c16="http://schemas.microsoft.com/office/drawing/2014/chart" uri="{C3380CC4-5D6E-409C-BE32-E72D297353CC}">
              <c16:uniqueId val="{00000002-99BD-4AFD-95D5-6CA71AB1962B}"/>
            </c:ext>
          </c:extLst>
        </c:ser>
        <c:ser>
          <c:idx val="3"/>
          <c:order val="3"/>
          <c:tx>
            <c:strRef>
              <c:f>Operations!$S$405</c:f>
              <c:strCache>
                <c:ptCount val="1"/>
                <c:pt idx="0">
                  <c:v>-</c:v>
                </c:pt>
              </c:strCache>
            </c:strRef>
          </c:tx>
          <c:xVal>
            <c:numRef>
              <c:f>Operations!$T$401:$Y$401</c:f>
            </c:numRef>
          </c:xVal>
          <c:yVal>
            <c:numRef>
              <c:f>Operations!$T$405:$Y$405</c:f>
            </c:numRef>
          </c:yVal>
          <c:smooth val="0"/>
          <c:extLst>
            <c:ext xmlns:c16="http://schemas.microsoft.com/office/drawing/2014/chart" uri="{C3380CC4-5D6E-409C-BE32-E72D297353CC}">
              <c16:uniqueId val="{00000003-99BD-4AFD-95D5-6CA71AB1962B}"/>
            </c:ext>
          </c:extLst>
        </c:ser>
        <c:ser>
          <c:idx val="4"/>
          <c:order val="4"/>
          <c:tx>
            <c:strRef>
              <c:f>Operations!$S$406</c:f>
              <c:strCache>
                <c:ptCount val="1"/>
                <c:pt idx="0">
                  <c:v>-</c:v>
                </c:pt>
              </c:strCache>
            </c:strRef>
          </c:tx>
          <c:xVal>
            <c:numRef>
              <c:f>Operations!$T$401:$Y$401</c:f>
            </c:numRef>
          </c:xVal>
          <c:yVal>
            <c:numRef>
              <c:f>Operations!$T$406:$Y$406</c:f>
            </c:numRef>
          </c:yVal>
          <c:smooth val="0"/>
          <c:extLst>
            <c:ext xmlns:c16="http://schemas.microsoft.com/office/drawing/2014/chart" uri="{C3380CC4-5D6E-409C-BE32-E72D297353CC}">
              <c16:uniqueId val="{00000004-99BD-4AFD-95D5-6CA71AB1962B}"/>
            </c:ext>
          </c:extLst>
        </c:ser>
        <c:ser>
          <c:idx val="5"/>
          <c:order val="5"/>
          <c:tx>
            <c:strRef>
              <c:f>Operations!$S$407</c:f>
              <c:strCache>
                <c:ptCount val="1"/>
                <c:pt idx="0">
                  <c:v>-</c:v>
                </c:pt>
              </c:strCache>
            </c:strRef>
          </c:tx>
          <c:xVal>
            <c:numRef>
              <c:f>Operations!$T$401:$Y$401</c:f>
            </c:numRef>
          </c:xVal>
          <c:yVal>
            <c:numRef>
              <c:f>Operations!$T$407:$Y$407</c:f>
            </c:numRef>
          </c:yVal>
          <c:smooth val="0"/>
          <c:extLst>
            <c:ext xmlns:c16="http://schemas.microsoft.com/office/drawing/2014/chart" uri="{C3380CC4-5D6E-409C-BE32-E72D297353CC}">
              <c16:uniqueId val="{00000005-99BD-4AFD-95D5-6CA71AB1962B}"/>
            </c:ext>
          </c:extLst>
        </c:ser>
        <c:ser>
          <c:idx val="6"/>
          <c:order val="6"/>
          <c:tx>
            <c:strRef>
              <c:f>Operations!$S$408</c:f>
              <c:strCache>
                <c:ptCount val="1"/>
                <c:pt idx="0">
                  <c:v>-</c:v>
                </c:pt>
              </c:strCache>
            </c:strRef>
          </c:tx>
          <c:xVal>
            <c:numRef>
              <c:f>Operations!$T$401:$Y$401</c:f>
            </c:numRef>
          </c:xVal>
          <c:yVal>
            <c:numRef>
              <c:f>Operations!$T$408:$Y$408</c:f>
            </c:numRef>
          </c:yVal>
          <c:smooth val="0"/>
          <c:extLst>
            <c:ext xmlns:c16="http://schemas.microsoft.com/office/drawing/2014/chart" uri="{C3380CC4-5D6E-409C-BE32-E72D297353CC}">
              <c16:uniqueId val="{00000006-99BD-4AFD-95D5-6CA71AB1962B}"/>
            </c:ext>
          </c:extLst>
        </c:ser>
        <c:ser>
          <c:idx val="7"/>
          <c:order val="7"/>
          <c:tx>
            <c:strRef>
              <c:f>Operations!$S$409</c:f>
              <c:strCache>
                <c:ptCount val="1"/>
                <c:pt idx="0">
                  <c:v>-</c:v>
                </c:pt>
              </c:strCache>
            </c:strRef>
          </c:tx>
          <c:xVal>
            <c:numRef>
              <c:f>Operations!$T$401:$Y$401</c:f>
            </c:numRef>
          </c:xVal>
          <c:yVal>
            <c:numRef>
              <c:f>Operations!$T$409:$Y$409</c:f>
            </c:numRef>
          </c:yVal>
          <c:smooth val="0"/>
          <c:extLst>
            <c:ext xmlns:c16="http://schemas.microsoft.com/office/drawing/2014/chart" uri="{C3380CC4-5D6E-409C-BE32-E72D297353CC}">
              <c16:uniqueId val="{00000007-99BD-4AFD-95D5-6CA71AB1962B}"/>
            </c:ext>
          </c:extLst>
        </c:ser>
        <c:ser>
          <c:idx val="8"/>
          <c:order val="8"/>
          <c:tx>
            <c:strRef>
              <c:f>Operations!$S$410</c:f>
              <c:strCache>
                <c:ptCount val="1"/>
                <c:pt idx="0">
                  <c:v>-</c:v>
                </c:pt>
              </c:strCache>
            </c:strRef>
          </c:tx>
          <c:xVal>
            <c:numRef>
              <c:f>Operations!$T$401:$Y$401</c:f>
            </c:numRef>
          </c:xVal>
          <c:yVal>
            <c:numRef>
              <c:f>Operations!$T$410:$Y$410</c:f>
            </c:numRef>
          </c:yVal>
          <c:smooth val="0"/>
          <c:extLst>
            <c:ext xmlns:c16="http://schemas.microsoft.com/office/drawing/2014/chart" uri="{C3380CC4-5D6E-409C-BE32-E72D297353CC}">
              <c16:uniqueId val="{00000008-99BD-4AFD-95D5-6CA71AB1962B}"/>
            </c:ext>
          </c:extLst>
        </c:ser>
        <c:ser>
          <c:idx val="9"/>
          <c:order val="9"/>
          <c:tx>
            <c:strRef>
              <c:f>Operations!$S$411</c:f>
              <c:strCache>
                <c:ptCount val="1"/>
                <c:pt idx="0">
                  <c:v>Empty</c:v>
                </c:pt>
              </c:strCache>
            </c:strRef>
          </c:tx>
          <c:xVal>
            <c:numRef>
              <c:f>Operations!$T$401:$Y$401</c:f>
            </c:numRef>
          </c:xVal>
          <c:yVal>
            <c:numRef>
              <c:f>Operations!$T$411:$Y$411</c:f>
            </c:numRef>
          </c:yVal>
          <c:smooth val="0"/>
          <c:extLst>
            <c:ext xmlns:c16="http://schemas.microsoft.com/office/drawing/2014/chart" uri="{C3380CC4-5D6E-409C-BE32-E72D297353CC}">
              <c16:uniqueId val="{00000009-99BD-4AFD-95D5-6CA71AB1962B}"/>
            </c:ext>
          </c:extLst>
        </c:ser>
        <c:dLbls>
          <c:showLegendKey val="0"/>
          <c:showVal val="0"/>
          <c:showCatName val="0"/>
          <c:showSerName val="0"/>
          <c:showPercent val="0"/>
          <c:showBubbleSize val="0"/>
        </c:dLbls>
        <c:axId val="219019904"/>
        <c:axId val="219372800"/>
      </c:scatterChart>
      <c:valAx>
        <c:axId val="219019904"/>
        <c:scaling>
          <c:orientation val="minMax"/>
        </c:scaling>
        <c:delete val="0"/>
        <c:axPos val="b"/>
        <c:numFmt formatCode="mmm\ yyyy" sourceLinked="1"/>
        <c:majorTickMark val="out"/>
        <c:minorTickMark val="none"/>
        <c:tickLblPos val="nextTo"/>
        <c:crossAx val="219372800"/>
        <c:crosses val="autoZero"/>
        <c:crossBetween val="midCat"/>
      </c:valAx>
      <c:valAx>
        <c:axId val="219372800"/>
        <c:scaling>
          <c:orientation val="minMax"/>
        </c:scaling>
        <c:delete val="0"/>
        <c:axPos val="l"/>
        <c:majorGridlines/>
        <c:title>
          <c:tx>
            <c:rich>
              <a:bodyPr rot="-5400000" vert="horz"/>
              <a:lstStyle/>
              <a:p>
                <a:pPr>
                  <a:defRPr/>
                </a:pPr>
                <a:r>
                  <a:rPr lang="en-US"/>
                  <a:t>Depreciation</a:t>
                </a:r>
              </a:p>
            </c:rich>
          </c:tx>
          <c:layout>
            <c:manualLayout>
              <c:xMode val="edge"/>
              <c:yMode val="edge"/>
              <c:x val="3.3333333333333333E-2"/>
              <c:y val="0.3321886218256489"/>
            </c:manualLayout>
          </c:layout>
          <c:overlay val="0"/>
        </c:title>
        <c:numFmt formatCode="#,##0" sourceLinked="0"/>
        <c:majorTickMark val="out"/>
        <c:minorTickMark val="none"/>
        <c:tickLblPos val="nextTo"/>
        <c:crossAx val="219019904"/>
        <c:crosses val="autoZero"/>
        <c:crossBetween val="midCat"/>
        <c:dispUnits>
          <c:builtInUnit val="thousands"/>
          <c:dispUnitsLbl/>
        </c:dispUnits>
      </c:valAx>
    </c:plotArea>
    <c:legend>
      <c:legendPos val="b"/>
      <c:layout>
        <c:manualLayout>
          <c:xMode val="edge"/>
          <c:yMode val="edge"/>
          <c:x val="0.1075"/>
          <c:y val="0.8325883926671328"/>
          <c:w val="0.89249999999999996"/>
          <c:h val="0.16741160733286717"/>
        </c:manualLayout>
      </c:layout>
      <c:overlay val="0"/>
    </c:legend>
    <c:plotVisOnly val="1"/>
    <c:dispBlanksAs val="zero"/>
    <c:showDLblsOverMax val="0"/>
  </c:chart>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Quarterly Expenses by Type (first</a:t>
            </a:r>
            <a:r>
              <a:rPr lang="en-GB" baseline="0"/>
              <a:t> two years)</a:t>
            </a:r>
            <a:endParaRPr lang="en-GB"/>
          </a:p>
        </c:rich>
      </c:tx>
      <c:overlay val="0"/>
    </c:title>
    <c:autoTitleDeleted val="0"/>
    <c:plotArea>
      <c:layout/>
      <c:scatterChart>
        <c:scatterStyle val="lineMarker"/>
        <c:varyColors val="0"/>
        <c:ser>
          <c:idx val="0"/>
          <c:order val="0"/>
          <c:tx>
            <c:strRef>
              <c:f>Operations!$C$461</c:f>
              <c:strCache>
                <c:ptCount val="1"/>
                <c:pt idx="0">
                  <c:v>COS</c:v>
                </c:pt>
              </c:strCache>
            </c:strRef>
          </c:tx>
          <c:xVal>
            <c:numRef>
              <c:f>Operations!$D$460:$K$460</c:f>
            </c:numRef>
          </c:xVal>
          <c:yVal>
            <c:numRef>
              <c:f>Operations!$D$461:$K$461</c:f>
            </c:numRef>
          </c:yVal>
          <c:smooth val="0"/>
          <c:extLst>
            <c:ext xmlns:c16="http://schemas.microsoft.com/office/drawing/2014/chart" uri="{C3380CC4-5D6E-409C-BE32-E72D297353CC}">
              <c16:uniqueId val="{00000000-68BD-46AA-A20B-380CA50988F2}"/>
            </c:ext>
          </c:extLst>
        </c:ser>
        <c:ser>
          <c:idx val="1"/>
          <c:order val="1"/>
          <c:tx>
            <c:strRef>
              <c:f>Operations!$C$462</c:f>
              <c:strCache>
                <c:ptCount val="1"/>
                <c:pt idx="0">
                  <c:v>Operating Expenses (incl. payroll)</c:v>
                </c:pt>
              </c:strCache>
            </c:strRef>
          </c:tx>
          <c:xVal>
            <c:numRef>
              <c:f>Operations!$D$460:$K$460</c:f>
            </c:numRef>
          </c:xVal>
          <c:yVal>
            <c:numRef>
              <c:f>Operations!$D$462:$K$462</c:f>
            </c:numRef>
          </c:yVal>
          <c:smooth val="0"/>
          <c:extLst>
            <c:ext xmlns:c16="http://schemas.microsoft.com/office/drawing/2014/chart" uri="{C3380CC4-5D6E-409C-BE32-E72D297353CC}">
              <c16:uniqueId val="{00000001-68BD-46AA-A20B-380CA50988F2}"/>
            </c:ext>
          </c:extLst>
        </c:ser>
        <c:ser>
          <c:idx val="3"/>
          <c:order val="2"/>
          <c:tx>
            <c:strRef>
              <c:f>Operations!$C$463</c:f>
              <c:strCache>
                <c:ptCount val="1"/>
                <c:pt idx="0">
                  <c:v>Depreciation and Amortization</c:v>
                </c:pt>
              </c:strCache>
            </c:strRef>
          </c:tx>
          <c:xVal>
            <c:numRef>
              <c:f>Operations!$D$460:$K$460</c:f>
            </c:numRef>
          </c:xVal>
          <c:yVal>
            <c:numRef>
              <c:f>Operations!$D$463:$K$463</c:f>
            </c:numRef>
          </c:yVal>
          <c:smooth val="0"/>
          <c:extLst>
            <c:ext xmlns:c16="http://schemas.microsoft.com/office/drawing/2014/chart" uri="{C3380CC4-5D6E-409C-BE32-E72D297353CC}">
              <c16:uniqueId val="{00000002-68BD-46AA-A20B-380CA50988F2}"/>
            </c:ext>
          </c:extLst>
        </c:ser>
        <c:dLbls>
          <c:showLegendKey val="0"/>
          <c:showVal val="0"/>
          <c:showCatName val="0"/>
          <c:showSerName val="0"/>
          <c:showPercent val="0"/>
          <c:showBubbleSize val="0"/>
        </c:dLbls>
        <c:axId val="1044165872"/>
        <c:axId val="1044166416"/>
      </c:scatterChart>
      <c:valAx>
        <c:axId val="1044165872"/>
        <c:scaling>
          <c:orientation val="minMax"/>
        </c:scaling>
        <c:delete val="0"/>
        <c:axPos val="b"/>
        <c:numFmt formatCode="mmm\ yyyy" sourceLinked="1"/>
        <c:majorTickMark val="out"/>
        <c:minorTickMark val="none"/>
        <c:tickLblPos val="nextTo"/>
        <c:crossAx val="1044166416"/>
        <c:crosses val="autoZero"/>
        <c:crossBetween val="midCat"/>
      </c:valAx>
      <c:valAx>
        <c:axId val="1044166416"/>
        <c:scaling>
          <c:orientation val="minMax"/>
        </c:scaling>
        <c:delete val="0"/>
        <c:axPos val="l"/>
        <c:majorGridlines/>
        <c:numFmt formatCode="#,##0" sourceLinked="0"/>
        <c:majorTickMark val="out"/>
        <c:minorTickMark val="none"/>
        <c:tickLblPos val="nextTo"/>
        <c:crossAx val="1044165872"/>
        <c:crosses val="autoZero"/>
        <c:crossBetween val="midCat"/>
        <c:dispUnits>
          <c:builtInUnit val="thousands"/>
          <c:dispUnitsLbl/>
        </c:dispUnits>
      </c:valAx>
    </c:plotArea>
    <c:legend>
      <c:legendPos val="b"/>
      <c:overlay val="0"/>
    </c:legend>
    <c:plotVisOnly val="1"/>
    <c:dispBlanksAs val="zero"/>
    <c:showDLblsOverMax val="0"/>
  </c:chart>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Annual Expenses by Type</a:t>
            </a:r>
          </a:p>
        </c:rich>
      </c:tx>
      <c:overlay val="0"/>
    </c:title>
    <c:autoTitleDeleted val="0"/>
    <c:plotArea>
      <c:layout/>
      <c:scatterChart>
        <c:scatterStyle val="lineMarker"/>
        <c:varyColors val="0"/>
        <c:ser>
          <c:idx val="0"/>
          <c:order val="0"/>
          <c:tx>
            <c:strRef>
              <c:f>Operations!$S$477</c:f>
              <c:strCache>
                <c:ptCount val="1"/>
                <c:pt idx="0">
                  <c:v>COS</c:v>
                </c:pt>
              </c:strCache>
            </c:strRef>
          </c:tx>
          <c:xVal>
            <c:numRef>
              <c:f>Operations!$T$476:$Y$476</c:f>
            </c:numRef>
          </c:xVal>
          <c:yVal>
            <c:numRef>
              <c:f>Operations!$T$477:$Y$477</c:f>
            </c:numRef>
          </c:yVal>
          <c:smooth val="0"/>
          <c:extLst>
            <c:ext xmlns:c16="http://schemas.microsoft.com/office/drawing/2014/chart" uri="{C3380CC4-5D6E-409C-BE32-E72D297353CC}">
              <c16:uniqueId val="{00000000-DBC7-4811-9A2D-9B6688910E55}"/>
            </c:ext>
          </c:extLst>
        </c:ser>
        <c:ser>
          <c:idx val="1"/>
          <c:order val="1"/>
          <c:tx>
            <c:strRef>
              <c:f>Operations!$S$478</c:f>
              <c:strCache>
                <c:ptCount val="1"/>
                <c:pt idx="0">
                  <c:v>Operating Expenses (incl. payroll)</c:v>
                </c:pt>
              </c:strCache>
            </c:strRef>
          </c:tx>
          <c:xVal>
            <c:numRef>
              <c:f>Operations!$T$476:$Y$476</c:f>
            </c:numRef>
          </c:xVal>
          <c:yVal>
            <c:numRef>
              <c:f>Operations!$T$478:$Y$478</c:f>
            </c:numRef>
          </c:yVal>
          <c:smooth val="0"/>
          <c:extLst>
            <c:ext xmlns:c16="http://schemas.microsoft.com/office/drawing/2014/chart" uri="{C3380CC4-5D6E-409C-BE32-E72D297353CC}">
              <c16:uniqueId val="{00000001-DBC7-4811-9A2D-9B6688910E55}"/>
            </c:ext>
          </c:extLst>
        </c:ser>
        <c:ser>
          <c:idx val="3"/>
          <c:order val="2"/>
          <c:tx>
            <c:strRef>
              <c:f>Operations!$S$479</c:f>
              <c:strCache>
                <c:ptCount val="1"/>
                <c:pt idx="0">
                  <c:v>Depreciation and Amortization</c:v>
                </c:pt>
              </c:strCache>
            </c:strRef>
          </c:tx>
          <c:xVal>
            <c:numRef>
              <c:f>Operations!$T$476:$Y$476</c:f>
            </c:numRef>
          </c:xVal>
          <c:yVal>
            <c:numRef>
              <c:f>Operations!$T$479:$Y$479</c:f>
            </c:numRef>
          </c:yVal>
          <c:smooth val="0"/>
          <c:extLst>
            <c:ext xmlns:c16="http://schemas.microsoft.com/office/drawing/2014/chart" uri="{C3380CC4-5D6E-409C-BE32-E72D297353CC}">
              <c16:uniqueId val="{00000002-DBC7-4811-9A2D-9B6688910E55}"/>
            </c:ext>
          </c:extLst>
        </c:ser>
        <c:dLbls>
          <c:showLegendKey val="0"/>
          <c:showVal val="0"/>
          <c:showCatName val="0"/>
          <c:showSerName val="0"/>
          <c:showPercent val="0"/>
          <c:showBubbleSize val="0"/>
        </c:dLbls>
        <c:axId val="1044160432"/>
        <c:axId val="1044166960"/>
      </c:scatterChart>
      <c:valAx>
        <c:axId val="1044160432"/>
        <c:scaling>
          <c:orientation val="minMax"/>
        </c:scaling>
        <c:delete val="0"/>
        <c:axPos val="b"/>
        <c:numFmt formatCode="mmm\ yyyy" sourceLinked="1"/>
        <c:majorTickMark val="out"/>
        <c:minorTickMark val="none"/>
        <c:tickLblPos val="nextTo"/>
        <c:crossAx val="1044166960"/>
        <c:crosses val="autoZero"/>
        <c:crossBetween val="midCat"/>
      </c:valAx>
      <c:valAx>
        <c:axId val="1044166960"/>
        <c:scaling>
          <c:orientation val="minMax"/>
        </c:scaling>
        <c:delete val="0"/>
        <c:axPos val="l"/>
        <c:majorGridlines/>
        <c:title>
          <c:tx>
            <c:strRef>
              <c:f>"Revenues (USD)"</c:f>
              <c:strCache>
                <c:ptCount val="1"/>
                <c:pt idx="0">
                  <c:v>Revenues (USD)</c:v>
                </c:pt>
              </c:strCache>
            </c:strRef>
          </c:tx>
          <c:overlay val="0"/>
          <c:txPr>
            <a:bodyPr rot="-5400000" vert="horz"/>
            <a:lstStyle/>
            <a:p>
              <a:pPr>
                <a:defRPr/>
              </a:pPr>
              <a:endParaRPr lang="en-US"/>
            </a:p>
          </c:txPr>
        </c:title>
        <c:numFmt formatCode="#,##0" sourceLinked="0"/>
        <c:majorTickMark val="out"/>
        <c:minorTickMark val="none"/>
        <c:tickLblPos val="nextTo"/>
        <c:crossAx val="1044160432"/>
        <c:crosses val="autoZero"/>
        <c:crossBetween val="midCat"/>
        <c:dispUnits>
          <c:builtInUnit val="thousands"/>
          <c:dispUnitsLbl/>
        </c:dispUnits>
      </c:valAx>
    </c:plotArea>
    <c:legend>
      <c:legendPos val="b"/>
      <c:overlay val="0"/>
    </c:legend>
    <c:plotVisOnly val="1"/>
    <c:dispBlanksAs val="gap"/>
    <c:showDLblsOverMax val="0"/>
  </c:chart>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Cashflow (annual and cumulative)</a:t>
            </a:r>
          </a:p>
        </c:rich>
      </c:tx>
      <c:overlay val="0"/>
    </c:title>
    <c:autoTitleDeleted val="0"/>
    <c:plotArea>
      <c:layout/>
      <c:scatterChart>
        <c:scatterStyle val="lineMarker"/>
        <c:varyColors val="0"/>
        <c:ser>
          <c:idx val="0"/>
          <c:order val="0"/>
          <c:tx>
            <c:strRef>
              <c:f>Statements!$AC$27</c:f>
              <c:strCache>
                <c:ptCount val="1"/>
                <c:pt idx="0">
                  <c:v>Cash Flow</c:v>
                </c:pt>
              </c:strCache>
            </c:strRef>
          </c:tx>
          <c:xVal>
            <c:numRef>
              <c:f>Statements!$AD$26:$AI$26</c:f>
            </c:numRef>
          </c:xVal>
          <c:yVal>
            <c:numRef>
              <c:f>Statements!$AD$27:$AI$27</c:f>
            </c:numRef>
          </c:yVal>
          <c:smooth val="0"/>
          <c:extLst>
            <c:ext xmlns:c16="http://schemas.microsoft.com/office/drawing/2014/chart" uri="{C3380CC4-5D6E-409C-BE32-E72D297353CC}">
              <c16:uniqueId val="{00000000-A7A5-4174-AA36-20E46B1B9481}"/>
            </c:ext>
          </c:extLst>
        </c:ser>
        <c:ser>
          <c:idx val="1"/>
          <c:order val="1"/>
          <c:tx>
            <c:strRef>
              <c:f>Statements!$AC$28</c:f>
              <c:strCache>
                <c:ptCount val="1"/>
                <c:pt idx="0">
                  <c:v>Ending Cash Balance</c:v>
                </c:pt>
              </c:strCache>
            </c:strRef>
          </c:tx>
          <c:xVal>
            <c:numRef>
              <c:f>Statements!$AD$26:$AI$26</c:f>
            </c:numRef>
          </c:xVal>
          <c:yVal>
            <c:numRef>
              <c:f>Statements!$AD$28:$AI$28</c:f>
            </c:numRef>
          </c:yVal>
          <c:smooth val="0"/>
          <c:extLst>
            <c:ext xmlns:c16="http://schemas.microsoft.com/office/drawing/2014/chart" uri="{C3380CC4-5D6E-409C-BE32-E72D297353CC}">
              <c16:uniqueId val="{00000001-A7A5-4174-AA36-20E46B1B9481}"/>
            </c:ext>
          </c:extLst>
        </c:ser>
        <c:dLbls>
          <c:showLegendKey val="0"/>
          <c:showVal val="0"/>
          <c:showCatName val="0"/>
          <c:showSerName val="0"/>
          <c:showPercent val="0"/>
          <c:showBubbleSize val="0"/>
        </c:dLbls>
        <c:axId val="219388480"/>
        <c:axId val="220321888"/>
      </c:scatterChart>
      <c:valAx>
        <c:axId val="219388480"/>
        <c:scaling>
          <c:orientation val="minMax"/>
        </c:scaling>
        <c:delete val="0"/>
        <c:axPos val="b"/>
        <c:numFmt formatCode="mmm\ yyyy" sourceLinked="1"/>
        <c:majorTickMark val="out"/>
        <c:minorTickMark val="none"/>
        <c:tickLblPos val="nextTo"/>
        <c:crossAx val="220321888"/>
        <c:crosses val="autoZero"/>
        <c:crossBetween val="midCat"/>
      </c:valAx>
      <c:valAx>
        <c:axId val="220321888"/>
        <c:scaling>
          <c:orientation val="minMax"/>
        </c:scaling>
        <c:delete val="0"/>
        <c:axPos val="l"/>
        <c:majorGridlines/>
        <c:title>
          <c:tx>
            <c:rich>
              <a:bodyPr rot="-5400000" vert="horz"/>
              <a:lstStyle/>
              <a:p>
                <a:pPr>
                  <a:defRPr/>
                </a:pPr>
                <a:r>
                  <a:rPr lang="en-US"/>
                  <a:t>CashFlow (EUR)</a:t>
                </a:r>
              </a:p>
            </c:rich>
          </c:tx>
          <c:overlay val="0"/>
        </c:title>
        <c:numFmt formatCode="#,##0" sourceLinked="0"/>
        <c:majorTickMark val="out"/>
        <c:minorTickMark val="none"/>
        <c:tickLblPos val="nextTo"/>
        <c:crossAx val="219388480"/>
        <c:crosses val="autoZero"/>
        <c:crossBetween val="midCat"/>
        <c:dispUnits>
          <c:builtInUnit val="thousands"/>
          <c:dispUnitsLbl/>
        </c:dispUnits>
      </c:valAx>
    </c:plotArea>
    <c:legend>
      <c:legendPos val="b"/>
      <c:overlay val="0"/>
    </c:legend>
    <c:plotVisOnly val="1"/>
    <c:dispBlanksAs val="gap"/>
    <c:showDLblsOverMax val="0"/>
  </c:chart>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Cashflow (annual and cumulative)</a:t>
            </a:r>
          </a:p>
        </c:rich>
      </c:tx>
      <c:overlay val="0"/>
    </c:title>
    <c:autoTitleDeleted val="0"/>
    <c:plotArea>
      <c:layout/>
      <c:scatterChart>
        <c:scatterStyle val="lineMarker"/>
        <c:varyColors val="0"/>
        <c:ser>
          <c:idx val="0"/>
          <c:order val="0"/>
          <c:tx>
            <c:strRef>
              <c:f>Statements!$AC$54</c:f>
              <c:strCache>
                <c:ptCount val="1"/>
                <c:pt idx="0">
                  <c:v>Cash Flow</c:v>
                </c:pt>
              </c:strCache>
            </c:strRef>
          </c:tx>
          <c:xVal>
            <c:numRef>
              <c:f>Statements!$AD$53:$AI$53</c:f>
            </c:numRef>
          </c:xVal>
          <c:yVal>
            <c:numRef>
              <c:f>Statements!$AD$54:$AI$54</c:f>
            </c:numRef>
          </c:yVal>
          <c:smooth val="0"/>
          <c:extLst>
            <c:ext xmlns:c16="http://schemas.microsoft.com/office/drawing/2014/chart" uri="{C3380CC4-5D6E-409C-BE32-E72D297353CC}">
              <c16:uniqueId val="{00000000-8B50-4BC7-9B18-EA402CBA5EDA}"/>
            </c:ext>
          </c:extLst>
        </c:ser>
        <c:ser>
          <c:idx val="1"/>
          <c:order val="1"/>
          <c:tx>
            <c:strRef>
              <c:f>Statements!$AC$55</c:f>
              <c:strCache>
                <c:ptCount val="1"/>
                <c:pt idx="0">
                  <c:v>Ending Cash Balance</c:v>
                </c:pt>
              </c:strCache>
            </c:strRef>
          </c:tx>
          <c:xVal>
            <c:numRef>
              <c:f>Statements!$AD$53:$AI$53</c:f>
            </c:numRef>
          </c:xVal>
          <c:yVal>
            <c:numRef>
              <c:f>Statements!$AD$55:$AI$55</c:f>
            </c:numRef>
          </c:yVal>
          <c:smooth val="0"/>
          <c:extLst>
            <c:ext xmlns:c16="http://schemas.microsoft.com/office/drawing/2014/chart" uri="{C3380CC4-5D6E-409C-BE32-E72D297353CC}">
              <c16:uniqueId val="{00000001-8B50-4BC7-9B18-EA402CBA5EDA}"/>
            </c:ext>
          </c:extLst>
        </c:ser>
        <c:dLbls>
          <c:showLegendKey val="0"/>
          <c:showVal val="0"/>
          <c:showCatName val="0"/>
          <c:showSerName val="0"/>
          <c:showPercent val="0"/>
          <c:showBubbleSize val="0"/>
        </c:dLbls>
        <c:axId val="219388480"/>
        <c:axId val="220321888"/>
      </c:scatterChart>
      <c:valAx>
        <c:axId val="219388480"/>
        <c:scaling>
          <c:orientation val="minMax"/>
        </c:scaling>
        <c:delete val="0"/>
        <c:axPos val="b"/>
        <c:numFmt formatCode="mmm\ yyyy" sourceLinked="1"/>
        <c:majorTickMark val="out"/>
        <c:minorTickMark val="none"/>
        <c:tickLblPos val="nextTo"/>
        <c:crossAx val="220321888"/>
        <c:crosses val="autoZero"/>
        <c:crossBetween val="midCat"/>
      </c:valAx>
      <c:valAx>
        <c:axId val="220321888"/>
        <c:scaling>
          <c:orientation val="minMax"/>
        </c:scaling>
        <c:delete val="0"/>
        <c:axPos val="l"/>
        <c:majorGridlines/>
        <c:title>
          <c:tx>
            <c:rich>
              <a:bodyPr rot="-5400000" vert="horz"/>
              <a:lstStyle/>
              <a:p>
                <a:pPr>
                  <a:defRPr/>
                </a:pPr>
                <a:r>
                  <a:rPr lang="en-US"/>
                  <a:t>CashFlow (EUR)</a:t>
                </a:r>
              </a:p>
            </c:rich>
          </c:tx>
          <c:overlay val="0"/>
        </c:title>
        <c:numFmt formatCode="#,##0" sourceLinked="0"/>
        <c:majorTickMark val="out"/>
        <c:minorTickMark val="none"/>
        <c:tickLblPos val="nextTo"/>
        <c:crossAx val="219388480"/>
        <c:crosses val="autoZero"/>
        <c:crossBetween val="midCat"/>
        <c:dispUnits>
          <c:builtInUnit val="thousands"/>
          <c:dispUnitsLbl/>
        </c:dispUnits>
      </c:valAx>
    </c:plotArea>
    <c:legend>
      <c:legendPos val="b"/>
      <c:overlay val="0"/>
    </c:legend>
    <c:plotVisOnly val="1"/>
    <c:dispBlanksAs val="gap"/>
    <c:showDLblsOverMax val="0"/>
  </c:chart>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Measures of Company</a:t>
            </a:r>
            <a:r>
              <a:rPr lang="en-GB" baseline="0"/>
              <a:t> Profitability</a:t>
            </a:r>
            <a:endParaRPr lang="en-GB"/>
          </a:p>
        </c:rich>
      </c:tx>
      <c:overlay val="0"/>
    </c:title>
    <c:autoTitleDeleted val="0"/>
    <c:plotArea>
      <c:layout>
        <c:manualLayout>
          <c:layoutTarget val="inner"/>
          <c:xMode val="edge"/>
          <c:yMode val="edge"/>
          <c:x val="0.14477497405544934"/>
          <c:y val="0.12369960242550654"/>
          <c:w val="0.76287935720973588"/>
          <c:h val="0.58571353525212611"/>
        </c:manualLayout>
      </c:layout>
      <c:scatterChart>
        <c:scatterStyle val="lineMarker"/>
        <c:varyColors val="0"/>
        <c:ser>
          <c:idx val="1"/>
          <c:order val="0"/>
          <c:tx>
            <c:strRef>
              <c:f>Statements!$R$137</c:f>
              <c:strCache>
                <c:ptCount val="1"/>
                <c:pt idx="0">
                  <c:v>Gross Profit</c:v>
                </c:pt>
              </c:strCache>
            </c:strRef>
          </c:tx>
          <c:xVal>
            <c:numRef>
              <c:f>Statements!$S$136:$X$136</c:f>
            </c:numRef>
          </c:xVal>
          <c:yVal>
            <c:numRef>
              <c:f>Statements!$S$137:$X$137</c:f>
            </c:numRef>
          </c:yVal>
          <c:smooth val="0"/>
          <c:extLst>
            <c:ext xmlns:c16="http://schemas.microsoft.com/office/drawing/2014/chart" uri="{C3380CC4-5D6E-409C-BE32-E72D297353CC}">
              <c16:uniqueId val="{00000000-947F-4E97-8781-FFF479891A96}"/>
            </c:ext>
          </c:extLst>
        </c:ser>
        <c:ser>
          <c:idx val="0"/>
          <c:order val="1"/>
          <c:tx>
            <c:strRef>
              <c:f>Statements!$R$138</c:f>
              <c:strCache>
                <c:ptCount val="1"/>
                <c:pt idx="0">
                  <c:v>EBITDA</c:v>
                </c:pt>
              </c:strCache>
            </c:strRef>
          </c:tx>
          <c:xVal>
            <c:numRef>
              <c:f>Statements!$S$136:$X$136</c:f>
            </c:numRef>
          </c:xVal>
          <c:yVal>
            <c:numRef>
              <c:f>Statements!$S$138:$X$138</c:f>
            </c:numRef>
          </c:yVal>
          <c:smooth val="0"/>
          <c:extLst>
            <c:ext xmlns:c16="http://schemas.microsoft.com/office/drawing/2014/chart" uri="{C3380CC4-5D6E-409C-BE32-E72D297353CC}">
              <c16:uniqueId val="{00000001-947F-4E97-8781-FFF479891A96}"/>
            </c:ext>
          </c:extLst>
        </c:ser>
        <c:ser>
          <c:idx val="2"/>
          <c:order val="2"/>
          <c:tx>
            <c:strRef>
              <c:f>Statements!$R$139</c:f>
              <c:strCache>
                <c:ptCount val="1"/>
                <c:pt idx="0">
                  <c:v>Operating Profit (EBIT)</c:v>
                </c:pt>
              </c:strCache>
            </c:strRef>
          </c:tx>
          <c:xVal>
            <c:numRef>
              <c:f>Statements!$S$136:$X$136</c:f>
            </c:numRef>
          </c:xVal>
          <c:yVal>
            <c:numRef>
              <c:f>Statements!$S$139:$X$139</c:f>
            </c:numRef>
          </c:yVal>
          <c:smooth val="0"/>
          <c:extLst>
            <c:ext xmlns:c16="http://schemas.microsoft.com/office/drawing/2014/chart" uri="{C3380CC4-5D6E-409C-BE32-E72D297353CC}">
              <c16:uniqueId val="{00000002-947F-4E97-8781-FFF479891A96}"/>
            </c:ext>
          </c:extLst>
        </c:ser>
        <c:ser>
          <c:idx val="3"/>
          <c:order val="3"/>
          <c:tx>
            <c:strRef>
              <c:f>Statements!$R$140</c:f>
              <c:strCache>
                <c:ptCount val="1"/>
                <c:pt idx="0">
                  <c:v>Profit before Tax</c:v>
                </c:pt>
              </c:strCache>
            </c:strRef>
          </c:tx>
          <c:xVal>
            <c:numRef>
              <c:f>Statements!$S$136:$X$136</c:f>
            </c:numRef>
          </c:xVal>
          <c:yVal>
            <c:numRef>
              <c:f>Statements!$S$140:$X$140</c:f>
            </c:numRef>
          </c:yVal>
          <c:smooth val="0"/>
          <c:extLst>
            <c:ext xmlns:c16="http://schemas.microsoft.com/office/drawing/2014/chart" uri="{C3380CC4-5D6E-409C-BE32-E72D297353CC}">
              <c16:uniqueId val="{00000003-947F-4E97-8781-FFF479891A96}"/>
            </c:ext>
          </c:extLst>
        </c:ser>
        <c:ser>
          <c:idx val="4"/>
          <c:order val="4"/>
          <c:tx>
            <c:strRef>
              <c:f>Statements!$R$141</c:f>
              <c:strCache>
                <c:ptCount val="1"/>
                <c:pt idx="0">
                  <c:v>Profit after Tax (Net Income)</c:v>
                </c:pt>
              </c:strCache>
            </c:strRef>
          </c:tx>
          <c:xVal>
            <c:numRef>
              <c:f>Statements!$S$136:$X$136</c:f>
            </c:numRef>
          </c:xVal>
          <c:yVal>
            <c:numRef>
              <c:f>Statements!$S$141:$X$141</c:f>
            </c:numRef>
          </c:yVal>
          <c:smooth val="0"/>
          <c:extLst>
            <c:ext xmlns:c16="http://schemas.microsoft.com/office/drawing/2014/chart" uri="{C3380CC4-5D6E-409C-BE32-E72D297353CC}">
              <c16:uniqueId val="{00000004-947F-4E97-8781-FFF479891A96}"/>
            </c:ext>
          </c:extLst>
        </c:ser>
        <c:dLbls>
          <c:showLegendKey val="0"/>
          <c:showVal val="0"/>
          <c:showCatName val="0"/>
          <c:showSerName val="0"/>
          <c:showPercent val="0"/>
          <c:showBubbleSize val="0"/>
        </c:dLbls>
        <c:axId val="220329728"/>
        <c:axId val="220330288"/>
      </c:scatterChart>
      <c:valAx>
        <c:axId val="220329728"/>
        <c:scaling>
          <c:orientation val="minMax"/>
        </c:scaling>
        <c:delete val="0"/>
        <c:axPos val="b"/>
        <c:numFmt formatCode="mmm\ yyyy" sourceLinked="1"/>
        <c:majorTickMark val="out"/>
        <c:minorTickMark val="none"/>
        <c:tickLblPos val="low"/>
        <c:txPr>
          <a:bodyPr/>
          <a:lstStyle/>
          <a:p>
            <a:pPr algn="ctr">
              <a:defRPr lang="en-GB" sz="1000" b="0" i="0" u="none" strike="noStrike" kern="1200" baseline="0">
                <a:solidFill>
                  <a:sysClr val="windowText" lastClr="000000"/>
                </a:solidFill>
                <a:latin typeface="+mn-lt"/>
                <a:ea typeface="+mn-ea"/>
                <a:cs typeface="+mn-cs"/>
              </a:defRPr>
            </a:pPr>
            <a:endParaRPr lang="en-US"/>
          </a:p>
        </c:txPr>
        <c:crossAx val="220330288"/>
        <c:crosses val="autoZero"/>
        <c:crossBetween val="midCat"/>
      </c:valAx>
      <c:valAx>
        <c:axId val="220330288"/>
        <c:scaling>
          <c:orientation val="minMax"/>
        </c:scaling>
        <c:delete val="0"/>
        <c:axPos val="l"/>
        <c:majorGridlines/>
        <c:title>
          <c:tx>
            <c:rich>
              <a:bodyPr rot="-5400000" vert="horz"/>
              <a:lstStyle/>
              <a:p>
                <a:pPr>
                  <a:defRPr/>
                </a:pPr>
                <a:r>
                  <a:rPr lang="en-US"/>
                  <a:t>EUR</a:t>
                </a:r>
              </a:p>
            </c:rich>
          </c:tx>
          <c:layout>
            <c:manualLayout>
              <c:xMode val="edge"/>
              <c:yMode val="edge"/>
              <c:x val="1.8932481265928714E-2"/>
              <c:y val="0.38379996048880993"/>
            </c:manualLayout>
          </c:layout>
          <c:overlay val="0"/>
        </c:title>
        <c:numFmt formatCode="#,##0" sourceLinked="0"/>
        <c:majorTickMark val="out"/>
        <c:minorTickMark val="none"/>
        <c:tickLblPos val="nextTo"/>
        <c:crossAx val="220329728"/>
        <c:crosses val="autoZero"/>
        <c:crossBetween val="midCat"/>
        <c:dispUnits>
          <c:builtInUnit val="thousands"/>
          <c:dispUnitsLbl/>
        </c:dispUnits>
      </c:valAx>
    </c:plotArea>
    <c:legend>
      <c:legendPos val="b"/>
      <c:overlay val="0"/>
    </c:legend>
    <c:plotVisOnly val="1"/>
    <c:dispBlanksAs val="gap"/>
    <c:showDLblsOverMax val="0"/>
  </c:chart>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ndard"/>
        <c:varyColors val="0"/>
        <c:ser>
          <c:idx val="0"/>
          <c:order val="0"/>
          <c:tx>
            <c:strRef>
              <c:f>Statements!$AC$27</c:f>
              <c:strCache>
                <c:ptCount val="1"/>
                <c:pt idx="0">
                  <c:v>Cash Flow</c:v>
                </c:pt>
              </c:strCache>
            </c:strRef>
          </c:tx>
          <c:spPr>
            <a:solidFill>
              <a:schemeClr val="accent1"/>
            </a:solidFill>
            <a:ln w="25400">
              <a:noFill/>
            </a:ln>
            <a:effectLst/>
          </c:spPr>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15:showLeaderLines val="1"/>
                <c15:leaderLines>
                  <c:spPr>
                    <a:ln w="9525" cap="flat" cmpd="sng" algn="ctr">
                      <a:solidFill>
                        <a:schemeClr val="tx1">
                          <a:lumMod val="35000"/>
                          <a:lumOff val="65000"/>
                        </a:schemeClr>
                      </a:solidFill>
                      <a:round/>
                    </a:ln>
                    <a:effectLst/>
                  </c:spPr>
                </c15:leaderLines>
              </c:ext>
            </c:extLst>
          </c:dLbls>
          <c:val>
            <c:numRef>
              <c:f>Statements!$AD$27:$AI$27</c:f>
            </c:numRef>
          </c:val>
          <c:extLst>
            <c:ext xmlns:c15="http://schemas.microsoft.com/office/drawing/2012/chart" uri="{02D57815-91ED-43cb-92C2-25804820EDAC}">
              <c15:filteredCategoryTitle>
                <c15:cat>
                  <c:multiLvlStrRef>
                    <c:extLst>
                      <c:ext uri="{02D57815-91ED-43cb-92C2-25804820EDAC}">
                        <c15:formulaRef>
                          <c15:sqref>Statements!$AD$26:$AI$26</c15:sqref>
                        </c15:formulaRef>
                      </c:ext>
                    </c:extLst>
                  </c:multiLvlStrRef>
                </c15:cat>
              </c15:filteredCategoryTitle>
            </c:ext>
            <c:ext xmlns:c16="http://schemas.microsoft.com/office/drawing/2014/chart" uri="{C3380CC4-5D6E-409C-BE32-E72D297353CC}">
              <c16:uniqueId val="{00000000-613D-4064-9876-2D42E03FC6AF}"/>
            </c:ext>
          </c:extLst>
        </c:ser>
        <c:dLbls>
          <c:showLegendKey val="0"/>
          <c:showVal val="0"/>
          <c:showCatName val="0"/>
          <c:showSerName val="0"/>
          <c:showPercent val="0"/>
          <c:showBubbleSize val="0"/>
        </c:dLbls>
        <c:axId val="1006443823"/>
        <c:axId val="1006444303"/>
      </c:areaChart>
      <c:catAx>
        <c:axId val="1006443823"/>
        <c:scaling>
          <c:orientation val="minMax"/>
        </c:scaling>
        <c:delete val="0"/>
        <c:axPos val="b"/>
        <c:numFmt formatCode="mmm\ 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6444303"/>
        <c:crosses val="autoZero"/>
        <c:auto val="1"/>
        <c:lblAlgn val="ctr"/>
        <c:lblOffset val="100"/>
        <c:noMultiLvlLbl val="0"/>
      </c:catAx>
      <c:valAx>
        <c:axId val="1006444303"/>
        <c:scaling>
          <c:orientation val="minMax"/>
        </c:scaling>
        <c:delete val="0"/>
        <c:axPos val="l"/>
        <c:majorGridlines>
          <c:spPr>
            <a:ln w="9525" cap="flat" cmpd="sng" algn="ctr">
              <a:solidFill>
                <a:schemeClr val="tx1">
                  <a:lumMod val="15000"/>
                  <a:lumOff val="85000"/>
                </a:schemeClr>
              </a:solidFill>
              <a:round/>
            </a:ln>
            <a:effectLst/>
          </c:spPr>
        </c:majorGridlines>
        <c:numFmt formatCode="#,##0_);\(#,##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6443823"/>
        <c:crosses val="autoZero"/>
        <c:crossBetween val="midCat"/>
      </c:valAx>
      <c:spPr>
        <a:noFill/>
        <a:ln>
          <a:noFill/>
        </a:ln>
        <a:effectLst/>
      </c:spPr>
    </c:plotArea>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ndard"/>
        <c:varyColors val="0"/>
        <c:ser>
          <c:idx val="0"/>
          <c:order val="0"/>
          <c:tx>
            <c:strRef>
              <c:f>Statements!$AC$27</c:f>
              <c:strCache>
                <c:ptCount val="1"/>
                <c:pt idx="0">
                  <c:v>Cash Flow</c:v>
                </c:pt>
              </c:strCache>
            </c:strRef>
          </c:tx>
          <c:spPr>
            <a:solidFill>
              <a:schemeClr val="accent1"/>
            </a:solidFill>
            <a:ln>
              <a:noFill/>
            </a:ln>
            <a:effectLst/>
          </c:spP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Statements!$AD$27:$AI$27</c:f>
            </c:numRef>
          </c:val>
          <c:extLst>
            <c:ext xmlns:c15="http://schemas.microsoft.com/office/drawing/2012/chart" uri="{02D57815-91ED-43cb-92C2-25804820EDAC}">
              <c15:filteredCategoryTitle>
                <c15:cat>
                  <c:multiLvlStrRef>
                    <c:extLst>
                      <c:ext uri="{02D57815-91ED-43cb-92C2-25804820EDAC}">
                        <c15:formulaRef>
                          <c15:sqref>Statements!$AD$26:$AI$26</c15:sqref>
                        </c15:formulaRef>
                      </c:ext>
                    </c:extLst>
                  </c:multiLvlStrRef>
                </c15:cat>
              </c15:filteredCategoryTitle>
            </c:ext>
            <c:ext xmlns:c16="http://schemas.microsoft.com/office/drawing/2014/chart" uri="{C3380CC4-5D6E-409C-BE32-E72D297353CC}">
              <c16:uniqueId val="{00000004-CBA3-4BFE-8A5E-D4922F3E25F4}"/>
            </c:ext>
          </c:extLst>
        </c:ser>
        <c:ser>
          <c:idx val="1"/>
          <c:order val="1"/>
          <c:tx>
            <c:strRef>
              <c:f>Statements!$AC$28</c:f>
              <c:strCache>
                <c:ptCount val="1"/>
                <c:pt idx="0">
                  <c:v>Ending Cash Balance</c:v>
                </c:pt>
              </c:strCache>
            </c:strRef>
          </c:tx>
          <c:spPr>
            <a:solidFill>
              <a:schemeClr val="accent2"/>
            </a:solidFill>
            <a:ln>
              <a:noFill/>
            </a:ln>
            <a:effectLst/>
          </c:spP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Statements!$AD$28:$AI$28</c:f>
            </c:numRef>
          </c:val>
          <c:extLst>
            <c:ext xmlns:c15="http://schemas.microsoft.com/office/drawing/2012/chart" uri="{02D57815-91ED-43cb-92C2-25804820EDAC}">
              <c15:filteredCategoryTitle>
                <c15:cat>
                  <c:multiLvlStrRef>
                    <c:extLst>
                      <c:ext uri="{02D57815-91ED-43cb-92C2-25804820EDAC}">
                        <c15:formulaRef>
                          <c15:sqref>Statements!$AD$26:$AI$26</c15:sqref>
                        </c15:formulaRef>
                      </c:ext>
                    </c:extLst>
                  </c:multiLvlStrRef>
                </c15:cat>
              </c15:filteredCategoryTitle>
            </c:ext>
            <c:ext xmlns:c16="http://schemas.microsoft.com/office/drawing/2014/chart" uri="{C3380CC4-5D6E-409C-BE32-E72D297353CC}">
              <c16:uniqueId val="{00000005-CBA3-4BFE-8A5E-D4922F3E25F4}"/>
            </c:ext>
          </c:extLst>
        </c:ser>
        <c:dLbls>
          <c:showLegendKey val="0"/>
          <c:showVal val="1"/>
          <c:showCatName val="0"/>
          <c:showSerName val="0"/>
          <c:showPercent val="0"/>
          <c:showBubbleSize val="0"/>
        </c:dLbls>
        <c:axId val="1006440943"/>
        <c:axId val="1006441903"/>
      </c:areaChart>
      <c:catAx>
        <c:axId val="1006440943"/>
        <c:scaling>
          <c:orientation val="minMax"/>
        </c:scaling>
        <c:delete val="0"/>
        <c:axPos val="b"/>
        <c:numFmt formatCode="mmm\ 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6441903"/>
        <c:crosses val="autoZero"/>
        <c:auto val="1"/>
        <c:lblAlgn val="ctr"/>
        <c:lblOffset val="100"/>
        <c:noMultiLvlLbl val="0"/>
      </c:catAx>
      <c:valAx>
        <c:axId val="1006441903"/>
        <c:scaling>
          <c:orientation val="minMax"/>
        </c:scaling>
        <c:delete val="0"/>
        <c:axPos val="l"/>
        <c:majorGridlines>
          <c:spPr>
            <a:ln w="9525" cap="flat" cmpd="sng" algn="ctr">
              <a:solidFill>
                <a:schemeClr val="tx1">
                  <a:lumMod val="15000"/>
                  <a:lumOff val="85000"/>
                </a:schemeClr>
              </a:solidFill>
              <a:round/>
            </a:ln>
            <a:effectLst/>
          </c:spPr>
        </c:majorGridlines>
        <c:numFmt formatCode="#,##0_);\(#,##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6440943"/>
        <c:crosses val="autoZero"/>
        <c:crossBetween val="midCat"/>
      </c:valAx>
      <c:spPr>
        <a:noFill/>
        <a:ln>
          <a:noFill/>
        </a:ln>
        <a:effectLst/>
      </c:spPr>
    </c:plotArea>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VCM</a:t>
            </a:r>
            <a:r>
              <a:rPr lang="en-US" baseline="0"/>
              <a:t> Sensitivity Analysis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Valuation!$D$39</c:f>
              <c:strCache>
                <c:ptCount val="1"/>
                <c:pt idx="0">
                  <c:v>Ratio</c:v>
                </c:pt>
              </c:strCache>
            </c:strRef>
          </c:tx>
          <c:spPr>
            <a:solidFill>
              <a:schemeClr val="accent4">
                <a:shade val="58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Valuation!$C$40:$C$43</c:f>
            </c:strRef>
          </c:cat>
          <c:val>
            <c:numRef>
              <c:f>Valuation!$D$40:$D$43</c:f>
            </c:numRef>
          </c:val>
          <c:extLst>
            <c:ext xmlns:c16="http://schemas.microsoft.com/office/drawing/2014/chart" uri="{C3380CC4-5D6E-409C-BE32-E72D297353CC}">
              <c16:uniqueId val="{00000009-607F-4AB1-9995-27C6E80E07D2}"/>
            </c:ext>
          </c:extLst>
        </c:ser>
        <c:ser>
          <c:idx val="1"/>
          <c:order val="1"/>
          <c:tx>
            <c:strRef>
              <c:f>Valuation!$E$39</c:f>
              <c:strCache>
                <c:ptCount val="1"/>
                <c:pt idx="0">
                  <c:v>NPV using EV/Revenue Multiple</c:v>
                </c:pt>
              </c:strCache>
            </c:strRef>
          </c:tx>
          <c:spPr>
            <a:solidFill>
              <a:schemeClr val="accent4">
                <a:shade val="8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Valuation!$C$40:$C$43</c:f>
            </c:strRef>
          </c:cat>
          <c:val>
            <c:numRef>
              <c:f>Valuation!$E$40:$E$43</c:f>
            </c:numRef>
          </c:val>
          <c:extLst>
            <c:ext xmlns:c16="http://schemas.microsoft.com/office/drawing/2014/chart" uri="{C3380CC4-5D6E-409C-BE32-E72D297353CC}">
              <c16:uniqueId val="{0000000A-607F-4AB1-9995-27C6E80E07D2}"/>
            </c:ext>
          </c:extLst>
        </c:ser>
        <c:ser>
          <c:idx val="2"/>
          <c:order val="2"/>
          <c:tx>
            <c:strRef>
              <c:f>Valuation!$F$39</c:f>
              <c:strCache>
                <c:ptCount val="1"/>
                <c:pt idx="0">
                  <c:v>Ratio</c:v>
                </c:pt>
              </c:strCache>
            </c:strRef>
          </c:tx>
          <c:spPr>
            <a:solidFill>
              <a:schemeClr val="accent4">
                <a:tint val="8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Valuation!$C$40:$C$43</c:f>
            </c:strRef>
          </c:cat>
          <c:val>
            <c:numRef>
              <c:f>Valuation!$F$40:$F$43</c:f>
            </c:numRef>
          </c:val>
          <c:extLst>
            <c:ext xmlns:c16="http://schemas.microsoft.com/office/drawing/2014/chart" uri="{C3380CC4-5D6E-409C-BE32-E72D297353CC}">
              <c16:uniqueId val="{0000000B-607F-4AB1-9995-27C6E80E07D2}"/>
            </c:ext>
          </c:extLst>
        </c:ser>
        <c:ser>
          <c:idx val="3"/>
          <c:order val="3"/>
          <c:tx>
            <c:strRef>
              <c:f>Valuation!$G$39</c:f>
              <c:strCache>
                <c:ptCount val="1"/>
                <c:pt idx="0">
                  <c:v>NPV using EV/EBITDA multiple</c:v>
                </c:pt>
              </c:strCache>
            </c:strRef>
          </c:tx>
          <c:spPr>
            <a:solidFill>
              <a:schemeClr val="accent4">
                <a:tint val="58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Valuation!$C$40:$C$43</c:f>
            </c:strRef>
          </c:cat>
          <c:val>
            <c:numRef>
              <c:f>Valuation!$G$40:$G$43</c:f>
            </c:numRef>
          </c:val>
          <c:extLst>
            <c:ext xmlns:c16="http://schemas.microsoft.com/office/drawing/2014/chart" uri="{C3380CC4-5D6E-409C-BE32-E72D297353CC}">
              <c16:uniqueId val="{0000000C-607F-4AB1-9995-27C6E80E07D2}"/>
            </c:ext>
          </c:extLst>
        </c:ser>
        <c:dLbls>
          <c:dLblPos val="outEnd"/>
          <c:showLegendKey val="0"/>
          <c:showVal val="1"/>
          <c:showCatName val="0"/>
          <c:showSerName val="0"/>
          <c:showPercent val="0"/>
          <c:showBubbleSize val="0"/>
        </c:dLbls>
        <c:gapWidth val="219"/>
        <c:overlap val="-27"/>
        <c:axId val="920924287"/>
        <c:axId val="920924767"/>
      </c:barChart>
      <c:catAx>
        <c:axId val="9209242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924767"/>
        <c:crosses val="autoZero"/>
        <c:auto val="1"/>
        <c:lblAlgn val="ctr"/>
        <c:lblOffset val="100"/>
        <c:noMultiLvlLbl val="0"/>
      </c:catAx>
      <c:valAx>
        <c:axId val="92092476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924287"/>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DCF</a:t>
            </a:r>
            <a:r>
              <a:rPr lang="en-US" baseline="0"/>
              <a:t> Sensitivity Analysis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Valuation!$D$63</c:f>
              <c:strCache>
                <c:ptCount val="1"/>
                <c:pt idx="0">
                  <c:v>Ratio</c:v>
                </c:pt>
              </c:strCache>
            </c:strRef>
          </c:tx>
          <c:spPr>
            <a:solidFill>
              <a:schemeClr val="accent1">
                <a:shade val="58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Valuation!$C$64:$C$67</c:f>
            </c:multiLvlStrRef>
          </c:cat>
          <c:val>
            <c:numRef>
              <c:f>Valuation!$D$64:$D$67</c:f>
            </c:numRef>
          </c:val>
          <c:extLst>
            <c:ext xmlns:c16="http://schemas.microsoft.com/office/drawing/2014/chart" uri="{C3380CC4-5D6E-409C-BE32-E72D297353CC}">
              <c16:uniqueId val="{00000001-1EF5-4EAD-8230-D6282C843949}"/>
            </c:ext>
          </c:extLst>
        </c:ser>
        <c:ser>
          <c:idx val="1"/>
          <c:order val="1"/>
          <c:tx>
            <c:strRef>
              <c:f>Valuation!$E$63</c:f>
              <c:strCache>
                <c:ptCount val="1"/>
                <c:pt idx="0">
                  <c:v>NPV using EV/Revenue Multiple</c:v>
                </c:pt>
              </c:strCache>
            </c:strRef>
          </c:tx>
          <c:spPr>
            <a:solidFill>
              <a:schemeClr val="accent1">
                <a:shade val="8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Valuation!$C$64:$C$67</c:f>
            </c:multiLvlStrRef>
          </c:cat>
          <c:val>
            <c:numRef>
              <c:f>Valuation!$E$64:$E$67</c:f>
            </c:numRef>
          </c:val>
          <c:extLst>
            <c:ext xmlns:c16="http://schemas.microsoft.com/office/drawing/2014/chart" uri="{C3380CC4-5D6E-409C-BE32-E72D297353CC}">
              <c16:uniqueId val="{00000002-1EF5-4EAD-8230-D6282C843949}"/>
            </c:ext>
          </c:extLst>
        </c:ser>
        <c:ser>
          <c:idx val="2"/>
          <c:order val="2"/>
          <c:tx>
            <c:strRef>
              <c:f>Valuation!$F$63</c:f>
              <c:strCache>
                <c:ptCount val="1"/>
                <c:pt idx="0">
                  <c:v>Ratio</c:v>
                </c:pt>
              </c:strCache>
            </c:strRef>
          </c:tx>
          <c:spPr>
            <a:solidFill>
              <a:schemeClr val="accent1">
                <a:tint val="8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Valuation!$C$64:$C$67</c:f>
            </c:multiLvlStrRef>
          </c:cat>
          <c:val>
            <c:numRef>
              <c:f>Valuation!$F$64:$F$67</c:f>
            </c:numRef>
          </c:val>
          <c:extLst>
            <c:ext xmlns:c16="http://schemas.microsoft.com/office/drawing/2014/chart" uri="{C3380CC4-5D6E-409C-BE32-E72D297353CC}">
              <c16:uniqueId val="{00000003-1EF5-4EAD-8230-D6282C843949}"/>
            </c:ext>
          </c:extLst>
        </c:ser>
        <c:ser>
          <c:idx val="3"/>
          <c:order val="3"/>
          <c:tx>
            <c:strRef>
              <c:f>Valuation!$G$63</c:f>
              <c:strCache>
                <c:ptCount val="1"/>
                <c:pt idx="0">
                  <c:v>NPV using EV/EBITDA multiple</c:v>
                </c:pt>
              </c:strCache>
            </c:strRef>
          </c:tx>
          <c:spPr>
            <a:solidFill>
              <a:schemeClr val="accent1">
                <a:tint val="58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Valuation!$C$64:$C$67</c:f>
            </c:multiLvlStrRef>
          </c:cat>
          <c:val>
            <c:numRef>
              <c:f>Valuation!$G$64:$G$67</c:f>
            </c:numRef>
          </c:val>
          <c:extLst>
            <c:ext xmlns:c16="http://schemas.microsoft.com/office/drawing/2014/chart" uri="{C3380CC4-5D6E-409C-BE32-E72D297353CC}">
              <c16:uniqueId val="{00000004-1EF5-4EAD-8230-D6282C843949}"/>
            </c:ext>
          </c:extLst>
        </c:ser>
        <c:dLbls>
          <c:dLblPos val="outEnd"/>
          <c:showLegendKey val="0"/>
          <c:showVal val="1"/>
          <c:showCatName val="0"/>
          <c:showSerName val="0"/>
          <c:showPercent val="0"/>
          <c:showBubbleSize val="0"/>
        </c:dLbls>
        <c:gapWidth val="219"/>
        <c:overlap val="-27"/>
        <c:axId val="1077411583"/>
        <c:axId val="1077410623"/>
      </c:barChart>
      <c:catAx>
        <c:axId val="10774115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7410623"/>
        <c:crosses val="autoZero"/>
        <c:auto val="1"/>
        <c:lblAlgn val="ctr"/>
        <c:lblOffset val="100"/>
        <c:noMultiLvlLbl val="0"/>
      </c:catAx>
      <c:valAx>
        <c:axId val="107741062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7411583"/>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0"/>
          <a:lstStyle/>
          <a:p>
            <a:pPr>
              <a:defRPr sz="1400" b="0" i="0" u="none" strike="noStrike" kern="1200" spc="0" baseline="0">
                <a:solidFill>
                  <a:srgbClr val="4B23CF"/>
                </a:solidFill>
                <a:latin typeface="+mn-lt"/>
                <a:ea typeface="+mn-ea"/>
                <a:cs typeface="+mn-cs"/>
              </a:defRPr>
            </a:pPr>
            <a:endParaRPr lang="es-ES" sz="1200" b="0" baseline="0">
              <a:solidFill>
                <a:sysClr val="windowText" lastClr="000000"/>
              </a:solidFill>
              <a:latin typeface="Aptos" panose="020B0004020202020204" pitchFamily="34" charset="0"/>
            </a:endParaRPr>
          </a:p>
          <a:p>
            <a:pPr>
              <a:defRPr sz="1400" b="0" i="0" u="none" strike="noStrike" kern="1200" spc="0" baseline="0">
                <a:solidFill>
                  <a:srgbClr val="4B23CF"/>
                </a:solidFill>
                <a:latin typeface="+mn-lt"/>
                <a:ea typeface="+mn-ea"/>
                <a:cs typeface="+mn-cs"/>
              </a:defRPr>
            </a:pPr>
            <a:r>
              <a:rPr lang="es-ES" sz="1200" b="1" spc="50" baseline="0">
                <a:solidFill>
                  <a:sysClr val="windowText" lastClr="000000"/>
                </a:solidFill>
                <a:latin typeface="Aptos" panose="020B0004020202020204" pitchFamily="34" charset="0"/>
              </a:rPr>
              <a:t>NEW CAPITAL</a:t>
            </a:r>
          </a:p>
        </c:rich>
      </c:tx>
      <c:overlay val="0"/>
      <c:spPr>
        <a:noFill/>
        <a:ln>
          <a:noFill/>
        </a:ln>
        <a:effectLst/>
      </c:spPr>
    </c:title>
    <c:autoTitleDeleted val="0"/>
    <c:plotArea>
      <c:layout>
        <c:manualLayout>
          <c:layoutTarget val="inner"/>
          <c:xMode val="edge"/>
          <c:yMode val="edge"/>
          <c:x val="0.13680555555555557"/>
          <c:y val="0.23607326388888888"/>
          <c:w val="0.79363767361111115"/>
          <c:h val="0.61163923611111115"/>
        </c:manualLayout>
      </c:layout>
      <c:barChart>
        <c:barDir val="col"/>
        <c:grouping val="stacked"/>
        <c:varyColors val="0"/>
        <c:ser>
          <c:idx val="0"/>
          <c:order val="0"/>
          <c:tx>
            <c:strRef>
              <c:f>'Cap Table'!$C$10</c:f>
              <c:strCache>
                <c:ptCount val="1"/>
                <c:pt idx="0">
                  <c:v>New Capital/Round Investment</c:v>
                </c:pt>
              </c:strCache>
            </c:strRef>
          </c:tx>
          <c:spPr>
            <a:solidFill>
              <a:srgbClr val="00A878"/>
            </a:solidFill>
          </c:spPr>
          <c:invertIfNegative val="0"/>
          <c:dLbls>
            <c:numFmt formatCode="#,##0.0;\(#,##0.0\);" sourceLinked="0"/>
            <c:spPr>
              <a:solidFill>
                <a:schemeClr val="bg1"/>
              </a:solidFill>
              <a:ln w="15875">
                <a:solidFill>
                  <a:srgbClr val="00A878"/>
                </a:solidFill>
              </a:ln>
              <a:effectLst/>
            </c:spPr>
            <c:txPr>
              <a:bodyPr rot="0" spcFirstLastPara="1" vertOverflow="ellipsis" vert="horz" wrap="square" lIns="72000" tIns="54000" rIns="72000" bIns="54000" anchor="ctr" anchorCtr="1">
                <a:spAutoFit/>
              </a:bodyPr>
              <a:lstStyle/>
              <a:p>
                <a:pPr>
                  <a:defRPr sz="1000" b="1" i="0" u="none" strike="noStrike" kern="1200" spc="50" baseline="0">
                    <a:solidFill>
                      <a:sysClr val="windowText" lastClr="000000"/>
                    </a:solidFill>
                    <a:latin typeface="Aptos" panose="020B0004020202020204" pitchFamily="34" charset="0"/>
                    <a:ea typeface="+mn-ea"/>
                    <a:cs typeface="+mn-cs"/>
                  </a:defRPr>
                </a:pPr>
                <a:endParaRPr lang="es-ES"/>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'Cap Table'!$E$1:$I$1</c:f>
              <c:strCache>
                <c:ptCount val="5"/>
                <c:pt idx="0">
                  <c:v>Pre-Seed</c:v>
                </c:pt>
                <c:pt idx="1">
                  <c:v>Seed</c:v>
                </c:pt>
                <c:pt idx="2">
                  <c:v>Series A</c:v>
                </c:pt>
                <c:pt idx="3">
                  <c:v>Series B</c:v>
                </c:pt>
                <c:pt idx="4">
                  <c:v>Series C</c:v>
                </c:pt>
              </c:strCache>
            </c:strRef>
          </c:cat>
          <c:val>
            <c:numRef>
              <c:f>'Cap Table'!$E$10:$I$10</c:f>
              <c:numCache>
                <c:formatCode>#,##0;\(#,##0\);\-</c:formatCode>
                <c:ptCount val="5"/>
                <c:pt idx="0">
                  <c:v>100000</c:v>
                </c:pt>
                <c:pt idx="1">
                  <c:v>300000</c:v>
                </c:pt>
                <c:pt idx="2">
                  <c:v>400000</c:v>
                </c:pt>
                <c:pt idx="3">
                  <c:v>200000</c:v>
                </c:pt>
                <c:pt idx="4">
                  <c:v>100000</c:v>
                </c:pt>
              </c:numCache>
            </c:numRef>
          </c:val>
          <c:extLst>
            <c:ext xmlns:c16="http://schemas.microsoft.com/office/drawing/2014/chart" uri="{C3380CC4-5D6E-409C-BE32-E72D297353CC}">
              <c16:uniqueId val="{00000000-A4F5-4D09-917B-B7B8F90D6870}"/>
            </c:ext>
          </c:extLst>
        </c:ser>
        <c:dLbls>
          <c:dLblPos val="ctr"/>
          <c:showLegendKey val="0"/>
          <c:showVal val="1"/>
          <c:showCatName val="0"/>
          <c:showSerName val="0"/>
          <c:showPercent val="0"/>
          <c:showBubbleSize val="0"/>
        </c:dLbls>
        <c:gapWidth val="210"/>
        <c:overlap val="100"/>
        <c:axId val="2003607071"/>
        <c:axId val="2003610911"/>
      </c:barChart>
      <c:catAx>
        <c:axId val="2003607071"/>
        <c:scaling>
          <c:orientation val="minMax"/>
        </c:scaling>
        <c:delete val="0"/>
        <c:axPos val="b"/>
        <c:numFmt formatCode="mmm\-yy" sourceLinked="0"/>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spc="50" baseline="0">
                <a:solidFill>
                  <a:sysClr val="windowText" lastClr="000000"/>
                </a:solidFill>
                <a:latin typeface="Aptos" panose="020B0004020202020204" pitchFamily="34" charset="0"/>
                <a:ea typeface="+mn-ea"/>
                <a:cs typeface="+mn-cs"/>
              </a:defRPr>
            </a:pPr>
            <a:endParaRPr lang="es-ES"/>
          </a:p>
        </c:txPr>
        <c:crossAx val="2003610911"/>
        <c:crosses val="autoZero"/>
        <c:auto val="1"/>
        <c:lblAlgn val="ctr"/>
        <c:lblOffset val="100"/>
        <c:noMultiLvlLbl val="1"/>
      </c:catAx>
      <c:valAx>
        <c:axId val="2003610911"/>
        <c:scaling>
          <c:orientation val="minMax"/>
        </c:scaling>
        <c:delete val="0"/>
        <c:axPos val="l"/>
        <c:majorGridlines>
          <c:spPr>
            <a:ln w="9525" cap="flat" cmpd="sng" algn="ctr">
              <a:solidFill>
                <a:srgbClr val="9EA3B0">
                  <a:alpha val="50000"/>
                </a:srgbClr>
              </a:solidFill>
              <a:round/>
            </a:ln>
            <a:effectLst/>
          </c:spPr>
        </c:majorGridlines>
        <c:numFmt formatCode="#,##0.0;\(#,##0.0\);\-" sourceLinked="0"/>
        <c:majorTickMark val="out"/>
        <c:minorTickMark val="none"/>
        <c:tickLblPos val="low"/>
        <c:spPr>
          <a:noFill/>
          <a:ln>
            <a:noFill/>
          </a:ln>
          <a:effectLst/>
        </c:spPr>
        <c:txPr>
          <a:bodyPr rot="-60000000" spcFirstLastPara="1" vertOverflow="ellipsis" vert="horz" wrap="square" anchor="ctr" anchorCtr="1"/>
          <a:lstStyle/>
          <a:p>
            <a:pPr>
              <a:defRPr sz="1000" b="0" i="0" u="none" strike="noStrike" kern="1200" spc="50" baseline="0">
                <a:solidFill>
                  <a:sysClr val="windowText" lastClr="000000"/>
                </a:solidFill>
                <a:latin typeface="Aptos" panose="020B0004020202020204" pitchFamily="34" charset="0"/>
                <a:ea typeface="+mn-ea"/>
                <a:cs typeface="+mn-cs"/>
              </a:defRPr>
            </a:pPr>
            <a:endParaRPr lang="es-ES"/>
          </a:p>
        </c:txPr>
        <c:crossAx val="2003607071"/>
        <c:crosses val="autoZero"/>
        <c:crossBetween val="between"/>
        <c:dispUnits>
          <c:builtInUnit val="millions"/>
        </c:dispUnits>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solidFill>
        <a:srgbClr val="9EA3B0"/>
      </a:solidFill>
      <a:round/>
    </a:ln>
    <a:effectLst/>
  </c:spPr>
  <c:txPr>
    <a:bodyPr/>
    <a:lstStyle/>
    <a:p>
      <a:pPr>
        <a:defRPr/>
      </a:pPr>
      <a:endParaRPr lang="es-ES"/>
    </a:p>
  </c:txPr>
  <c:printSettings>
    <c:headerFooter/>
    <c:pageMargins b="0.75" l="0.7" r="0.7" t="0.75" header="0.3" footer="0.3"/>
    <c:pageSetup/>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0"/>
          <a:lstStyle/>
          <a:p>
            <a:pPr>
              <a:defRPr sz="1400" b="0" i="0" u="none" strike="noStrike" kern="1200" spc="0" baseline="0">
                <a:solidFill>
                  <a:srgbClr val="4B23CF"/>
                </a:solidFill>
                <a:latin typeface="+mn-lt"/>
                <a:ea typeface="+mn-ea"/>
                <a:cs typeface="+mn-cs"/>
              </a:defRPr>
            </a:pPr>
            <a:endParaRPr lang="es-ES" sz="1200" b="0" baseline="0">
              <a:solidFill>
                <a:sysClr val="windowText" lastClr="000000"/>
              </a:solidFill>
              <a:latin typeface="Aptos" panose="020B0004020202020204" pitchFamily="34" charset="0"/>
            </a:endParaRPr>
          </a:p>
          <a:p>
            <a:pPr>
              <a:defRPr sz="1400" b="0" i="0" u="none" strike="noStrike" kern="1200" spc="0" baseline="0">
                <a:solidFill>
                  <a:srgbClr val="4B23CF"/>
                </a:solidFill>
                <a:latin typeface="+mn-lt"/>
                <a:ea typeface="+mn-ea"/>
                <a:cs typeface="+mn-cs"/>
              </a:defRPr>
            </a:pPr>
            <a:r>
              <a:rPr lang="es-ES" sz="1200" b="1" i="0" u="none" strike="noStrike" kern="1200" spc="50" baseline="0">
                <a:solidFill>
                  <a:sysClr val="windowText" lastClr="000000"/>
                </a:solidFill>
                <a:latin typeface="Aptos" panose="020B0004020202020204" pitchFamily="34" charset="0"/>
              </a:rPr>
              <a:t>FOUNDERS EQUITY OWNERSHIP</a:t>
            </a:r>
          </a:p>
        </c:rich>
      </c:tx>
      <c:overlay val="0"/>
      <c:spPr>
        <a:noFill/>
        <a:ln>
          <a:noFill/>
        </a:ln>
        <a:effectLst/>
      </c:spPr>
    </c:title>
    <c:autoTitleDeleted val="0"/>
    <c:plotArea>
      <c:layout>
        <c:manualLayout>
          <c:layoutTarget val="inner"/>
          <c:xMode val="edge"/>
          <c:yMode val="edge"/>
          <c:x val="0.13680555555555557"/>
          <c:y val="0.23607326388888888"/>
          <c:w val="0.79363767361111115"/>
          <c:h val="0.61163923611111115"/>
        </c:manualLayout>
      </c:layout>
      <c:lineChart>
        <c:grouping val="standard"/>
        <c:varyColors val="0"/>
        <c:ser>
          <c:idx val="0"/>
          <c:order val="0"/>
          <c:tx>
            <c:strRef>
              <c:f>'Cap Table'!$C$46</c:f>
              <c:strCache>
                <c:ptCount val="1"/>
                <c:pt idx="0">
                  <c:v>Founders</c:v>
                </c:pt>
              </c:strCache>
            </c:strRef>
          </c:tx>
          <c:spPr>
            <a:ln w="28575">
              <a:solidFill>
                <a:srgbClr val="2351CF"/>
              </a:solidFill>
            </a:ln>
          </c:spPr>
          <c:marker>
            <c:symbol val="none"/>
          </c:marker>
          <c:dLbls>
            <c:numFmt formatCode="0%;\(0%\);" sourceLinked="0"/>
            <c:spPr>
              <a:solidFill>
                <a:schemeClr val="bg1"/>
              </a:solidFill>
              <a:ln w="15875">
                <a:solidFill>
                  <a:srgbClr val="2351CF"/>
                </a:solidFill>
              </a:ln>
              <a:effectLst/>
            </c:spPr>
            <c:txPr>
              <a:bodyPr rot="0" spcFirstLastPara="1" vertOverflow="ellipsis" vert="horz" wrap="square" lIns="72000" tIns="54000" rIns="72000" bIns="54000" anchor="ctr" anchorCtr="1">
                <a:spAutoFit/>
              </a:bodyPr>
              <a:lstStyle/>
              <a:p>
                <a:pPr>
                  <a:defRPr sz="1000" b="1" i="0" u="none" strike="noStrike" kern="1200" spc="50" baseline="0">
                    <a:solidFill>
                      <a:sysClr val="windowText" lastClr="000000"/>
                    </a:solidFill>
                    <a:latin typeface="Aptos" panose="020B0004020202020204" pitchFamily="34" charset="0"/>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'Cap Table'!$D$1:$I$1</c:f>
              <c:strCache>
                <c:ptCount val="6"/>
                <c:pt idx="0">
                  <c:v>Start</c:v>
                </c:pt>
                <c:pt idx="1">
                  <c:v>Pre-Seed</c:v>
                </c:pt>
                <c:pt idx="2">
                  <c:v>Seed</c:v>
                </c:pt>
                <c:pt idx="3">
                  <c:v>Series A</c:v>
                </c:pt>
                <c:pt idx="4">
                  <c:v>Series B</c:v>
                </c:pt>
                <c:pt idx="5">
                  <c:v>Series C</c:v>
                </c:pt>
              </c:strCache>
            </c:strRef>
          </c:cat>
          <c:val>
            <c:numRef>
              <c:f>'Cap Table'!$D$46:$I$46</c:f>
              <c:numCache>
                <c:formatCode>0.0%;\(0.0%\);\-</c:formatCode>
                <c:ptCount val="6"/>
                <c:pt idx="0">
                  <c:v>1</c:v>
                </c:pt>
                <c:pt idx="1">
                  <c:v>0.91000000000000014</c:v>
                </c:pt>
                <c:pt idx="2">
                  <c:v>0.80079999999999996</c:v>
                </c:pt>
                <c:pt idx="3">
                  <c:v>0.76575887392900843</c:v>
                </c:pt>
                <c:pt idx="4">
                  <c:v>0.75747256905032168</c:v>
                </c:pt>
                <c:pt idx="5">
                  <c:v>0.7546145698659259</c:v>
                </c:pt>
              </c:numCache>
            </c:numRef>
          </c:val>
          <c:smooth val="0"/>
          <c:extLst>
            <c:ext xmlns:c16="http://schemas.microsoft.com/office/drawing/2014/chart" uri="{C3380CC4-5D6E-409C-BE32-E72D297353CC}">
              <c16:uniqueId val="{00000000-683D-4AB3-8C0B-64CBD54C8186}"/>
            </c:ext>
          </c:extLst>
        </c:ser>
        <c:dLbls>
          <c:dLblPos val="ctr"/>
          <c:showLegendKey val="0"/>
          <c:showVal val="1"/>
          <c:showCatName val="0"/>
          <c:showSerName val="0"/>
          <c:showPercent val="0"/>
          <c:showBubbleSize val="0"/>
        </c:dLbls>
        <c:smooth val="0"/>
        <c:axId val="2003607071"/>
        <c:axId val="2003610911"/>
      </c:lineChart>
      <c:catAx>
        <c:axId val="2003607071"/>
        <c:scaling>
          <c:orientation val="minMax"/>
        </c:scaling>
        <c:delete val="0"/>
        <c:axPos val="b"/>
        <c:numFmt formatCode="mmm\-yy" sourceLinked="0"/>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spc="50" baseline="0">
                <a:solidFill>
                  <a:sysClr val="windowText" lastClr="000000"/>
                </a:solidFill>
                <a:latin typeface="Aptos" panose="020B0004020202020204" pitchFamily="34" charset="0"/>
                <a:ea typeface="+mn-ea"/>
                <a:cs typeface="+mn-cs"/>
              </a:defRPr>
            </a:pPr>
            <a:endParaRPr lang="es-ES"/>
          </a:p>
        </c:txPr>
        <c:crossAx val="2003610911"/>
        <c:crosses val="autoZero"/>
        <c:auto val="1"/>
        <c:lblAlgn val="ctr"/>
        <c:lblOffset val="100"/>
        <c:noMultiLvlLbl val="1"/>
      </c:catAx>
      <c:valAx>
        <c:axId val="2003610911"/>
        <c:scaling>
          <c:orientation val="minMax"/>
          <c:max val="1"/>
          <c:min val="0"/>
        </c:scaling>
        <c:delete val="0"/>
        <c:axPos val="l"/>
        <c:majorGridlines>
          <c:spPr>
            <a:ln w="9525" cap="flat" cmpd="sng" algn="ctr">
              <a:solidFill>
                <a:srgbClr val="9EA3B0">
                  <a:alpha val="50000"/>
                </a:srgbClr>
              </a:solidFill>
              <a:round/>
            </a:ln>
            <a:effectLst/>
          </c:spPr>
        </c:majorGridlines>
        <c:numFmt formatCode="0%;\(0%\);\-" sourceLinked="0"/>
        <c:majorTickMark val="out"/>
        <c:minorTickMark val="none"/>
        <c:tickLblPos val="low"/>
        <c:spPr>
          <a:noFill/>
          <a:ln>
            <a:noFill/>
          </a:ln>
          <a:effectLst/>
        </c:spPr>
        <c:txPr>
          <a:bodyPr rot="-60000000" spcFirstLastPara="1" vertOverflow="ellipsis" vert="horz" wrap="square" anchor="ctr" anchorCtr="1"/>
          <a:lstStyle/>
          <a:p>
            <a:pPr>
              <a:defRPr sz="1000" b="0" i="0" u="none" strike="noStrike" kern="1200" spc="50" baseline="0">
                <a:solidFill>
                  <a:sysClr val="windowText" lastClr="000000"/>
                </a:solidFill>
                <a:latin typeface="Aptos" panose="020B0004020202020204" pitchFamily="34" charset="0"/>
                <a:ea typeface="+mn-ea"/>
                <a:cs typeface="+mn-cs"/>
              </a:defRPr>
            </a:pPr>
            <a:endParaRPr lang="es-ES"/>
          </a:p>
        </c:txPr>
        <c:crossAx val="2003607071"/>
        <c:crosses val="autoZero"/>
        <c:crossBetween val="between"/>
        <c:majorUnit val="0.2"/>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solidFill>
        <a:srgbClr val="9EA3B0"/>
      </a:solidFill>
      <a:round/>
    </a:ln>
    <a:effectLst/>
  </c:spPr>
  <c:txPr>
    <a:bodyPr/>
    <a:lstStyle/>
    <a:p>
      <a:pPr>
        <a:defRPr/>
      </a:pPr>
      <a:endParaRPr lang="es-E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0"/>
          <a:lstStyle/>
          <a:p>
            <a:pPr>
              <a:defRPr sz="1400" b="0" i="0" u="none" strike="noStrike" kern="1200" spc="0" baseline="0">
                <a:solidFill>
                  <a:srgbClr val="4B23CF"/>
                </a:solidFill>
                <a:latin typeface="+mn-lt"/>
                <a:ea typeface="+mn-ea"/>
                <a:cs typeface="+mn-cs"/>
              </a:defRPr>
            </a:pPr>
            <a:endParaRPr lang="es-ES" sz="1200" b="0" baseline="0">
              <a:solidFill>
                <a:sysClr val="windowText" lastClr="000000"/>
              </a:solidFill>
              <a:latin typeface="Aptos" panose="020B0004020202020204" pitchFamily="34" charset="0"/>
            </a:endParaRPr>
          </a:p>
          <a:p>
            <a:pPr>
              <a:defRPr sz="1400" b="0" i="0" u="none" strike="noStrike" kern="1200" spc="0" baseline="0">
                <a:solidFill>
                  <a:srgbClr val="4B23CF"/>
                </a:solidFill>
                <a:latin typeface="+mn-lt"/>
                <a:ea typeface="+mn-ea"/>
                <a:cs typeface="+mn-cs"/>
              </a:defRPr>
            </a:pPr>
            <a:r>
              <a:rPr lang="es-ES" sz="1200" b="1" i="0" u="none" strike="noStrike" kern="1200" spc="50" baseline="0">
                <a:solidFill>
                  <a:sysClr val="windowText" lastClr="000000"/>
                </a:solidFill>
                <a:latin typeface="Aptos" panose="020B0004020202020204" pitchFamily="34" charset="0"/>
              </a:rPr>
              <a:t>INVESTORS EQUITY OWNERSHIP</a:t>
            </a:r>
          </a:p>
        </c:rich>
      </c:tx>
      <c:overlay val="0"/>
      <c:spPr>
        <a:noFill/>
        <a:ln>
          <a:noFill/>
        </a:ln>
        <a:effectLst/>
      </c:spPr>
    </c:title>
    <c:autoTitleDeleted val="0"/>
    <c:plotArea>
      <c:layout>
        <c:manualLayout>
          <c:layoutTarget val="inner"/>
          <c:xMode val="edge"/>
          <c:yMode val="edge"/>
          <c:x val="0.13680555555555557"/>
          <c:y val="0.23607326388888888"/>
          <c:w val="0.79363767361111115"/>
          <c:h val="0.61163923611111115"/>
        </c:manualLayout>
      </c:layout>
      <c:lineChart>
        <c:grouping val="standard"/>
        <c:varyColors val="0"/>
        <c:ser>
          <c:idx val="0"/>
          <c:order val="0"/>
          <c:tx>
            <c:strRef>
              <c:f>'Cap Table'!$C$53</c:f>
              <c:strCache>
                <c:ptCount val="1"/>
                <c:pt idx="0">
                  <c:v>Investors</c:v>
                </c:pt>
              </c:strCache>
            </c:strRef>
          </c:tx>
          <c:spPr>
            <a:ln w="28575">
              <a:solidFill>
                <a:srgbClr val="00A878"/>
              </a:solidFill>
            </a:ln>
          </c:spPr>
          <c:marker>
            <c:symbol val="none"/>
          </c:marker>
          <c:dLbls>
            <c:numFmt formatCode="0%;\(0%\);" sourceLinked="0"/>
            <c:spPr>
              <a:solidFill>
                <a:schemeClr val="bg1"/>
              </a:solidFill>
              <a:ln w="15875">
                <a:solidFill>
                  <a:srgbClr val="00A878"/>
                </a:solidFill>
              </a:ln>
              <a:effectLst/>
            </c:spPr>
            <c:txPr>
              <a:bodyPr rot="0" spcFirstLastPara="1" vertOverflow="ellipsis" vert="horz" wrap="square" lIns="72000" tIns="54000" rIns="72000" bIns="54000" anchor="ctr" anchorCtr="1">
                <a:spAutoFit/>
              </a:bodyPr>
              <a:lstStyle/>
              <a:p>
                <a:pPr>
                  <a:defRPr sz="1000" b="1" i="0" u="none" strike="noStrike" kern="1200" spc="50" baseline="0">
                    <a:solidFill>
                      <a:sysClr val="windowText" lastClr="000000"/>
                    </a:solidFill>
                    <a:latin typeface="Aptos" panose="020B0004020202020204" pitchFamily="34" charset="0"/>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'Cap Table'!$E$1:$I$1</c:f>
              <c:strCache>
                <c:ptCount val="5"/>
                <c:pt idx="0">
                  <c:v>Pre-Seed</c:v>
                </c:pt>
                <c:pt idx="1">
                  <c:v>Seed</c:v>
                </c:pt>
                <c:pt idx="2">
                  <c:v>Series A</c:v>
                </c:pt>
                <c:pt idx="3">
                  <c:v>Series B</c:v>
                </c:pt>
                <c:pt idx="4">
                  <c:v>Series C</c:v>
                </c:pt>
              </c:strCache>
            </c:strRef>
          </c:cat>
          <c:val>
            <c:numRef>
              <c:f>'Cap Table'!$E$53:$I$53</c:f>
              <c:numCache>
                <c:formatCode>0.0%;\(0.0%\);\-</c:formatCode>
                <c:ptCount val="5"/>
                <c:pt idx="0">
                  <c:v>0.09</c:v>
                </c:pt>
                <c:pt idx="1">
                  <c:v>0.19919999999999999</c:v>
                </c:pt>
                <c:pt idx="2">
                  <c:v>0.2342411260709914</c:v>
                </c:pt>
                <c:pt idx="3">
                  <c:v>0.24252743094967838</c:v>
                </c:pt>
                <c:pt idx="4">
                  <c:v>0.24538543013407413</c:v>
                </c:pt>
              </c:numCache>
            </c:numRef>
          </c:val>
          <c:smooth val="0"/>
          <c:extLst>
            <c:ext xmlns:c16="http://schemas.microsoft.com/office/drawing/2014/chart" uri="{C3380CC4-5D6E-409C-BE32-E72D297353CC}">
              <c16:uniqueId val="{00000000-8B9A-47F6-B639-ED1E018EBA2B}"/>
            </c:ext>
          </c:extLst>
        </c:ser>
        <c:dLbls>
          <c:dLblPos val="ctr"/>
          <c:showLegendKey val="0"/>
          <c:showVal val="1"/>
          <c:showCatName val="0"/>
          <c:showSerName val="0"/>
          <c:showPercent val="0"/>
          <c:showBubbleSize val="0"/>
        </c:dLbls>
        <c:smooth val="0"/>
        <c:axId val="2003607071"/>
        <c:axId val="2003610911"/>
      </c:lineChart>
      <c:catAx>
        <c:axId val="2003607071"/>
        <c:scaling>
          <c:orientation val="minMax"/>
        </c:scaling>
        <c:delete val="0"/>
        <c:axPos val="b"/>
        <c:numFmt formatCode="mmm\-yy" sourceLinked="0"/>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spc="50" baseline="0">
                <a:solidFill>
                  <a:sysClr val="windowText" lastClr="000000"/>
                </a:solidFill>
                <a:latin typeface="Aptos" panose="020B0004020202020204" pitchFamily="34" charset="0"/>
                <a:ea typeface="+mn-ea"/>
                <a:cs typeface="+mn-cs"/>
              </a:defRPr>
            </a:pPr>
            <a:endParaRPr lang="es-ES"/>
          </a:p>
        </c:txPr>
        <c:crossAx val="2003610911"/>
        <c:crosses val="autoZero"/>
        <c:auto val="1"/>
        <c:lblAlgn val="ctr"/>
        <c:lblOffset val="100"/>
        <c:noMultiLvlLbl val="1"/>
      </c:catAx>
      <c:valAx>
        <c:axId val="2003610911"/>
        <c:scaling>
          <c:orientation val="minMax"/>
          <c:max val="1"/>
          <c:min val="0"/>
        </c:scaling>
        <c:delete val="0"/>
        <c:axPos val="l"/>
        <c:majorGridlines>
          <c:spPr>
            <a:ln w="9525" cap="flat" cmpd="sng" algn="ctr">
              <a:solidFill>
                <a:srgbClr val="9EA3B0">
                  <a:alpha val="50000"/>
                </a:srgbClr>
              </a:solidFill>
              <a:round/>
            </a:ln>
            <a:effectLst/>
          </c:spPr>
        </c:majorGridlines>
        <c:numFmt formatCode="0%;\(0%\);\-" sourceLinked="0"/>
        <c:majorTickMark val="out"/>
        <c:minorTickMark val="none"/>
        <c:tickLblPos val="low"/>
        <c:spPr>
          <a:noFill/>
          <a:ln>
            <a:noFill/>
          </a:ln>
          <a:effectLst/>
        </c:spPr>
        <c:txPr>
          <a:bodyPr rot="-60000000" spcFirstLastPara="1" vertOverflow="ellipsis" vert="horz" wrap="square" anchor="ctr" anchorCtr="1"/>
          <a:lstStyle/>
          <a:p>
            <a:pPr>
              <a:defRPr sz="1000" b="0" i="0" u="none" strike="noStrike" kern="1200" spc="50" baseline="0">
                <a:solidFill>
                  <a:sysClr val="windowText" lastClr="000000"/>
                </a:solidFill>
                <a:latin typeface="Aptos" panose="020B0004020202020204" pitchFamily="34" charset="0"/>
                <a:ea typeface="+mn-ea"/>
                <a:cs typeface="+mn-cs"/>
              </a:defRPr>
            </a:pPr>
            <a:endParaRPr lang="es-ES"/>
          </a:p>
        </c:txPr>
        <c:crossAx val="2003607071"/>
        <c:crosses val="autoZero"/>
        <c:crossBetween val="between"/>
        <c:majorUnit val="0.2"/>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solidFill>
        <a:srgbClr val="9EA3B0"/>
      </a:solidFill>
      <a:round/>
    </a:ln>
    <a:effectLst/>
  </c:spPr>
  <c:txPr>
    <a:bodyPr/>
    <a:lstStyle/>
    <a:p>
      <a:pPr>
        <a:defRPr/>
      </a:pPr>
      <a:endParaRPr lang="es-E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0"/>
          <a:lstStyle/>
          <a:p>
            <a:pPr>
              <a:defRPr sz="1400" b="0" i="0" u="none" strike="noStrike" kern="1200" spc="0" baseline="0">
                <a:solidFill>
                  <a:srgbClr val="4B23CF"/>
                </a:solidFill>
                <a:latin typeface="+mn-lt"/>
                <a:ea typeface="+mn-ea"/>
                <a:cs typeface="+mn-cs"/>
              </a:defRPr>
            </a:pPr>
            <a:endParaRPr lang="es-ES" sz="1200" b="0" baseline="0">
              <a:solidFill>
                <a:sysClr val="windowText" lastClr="000000"/>
              </a:solidFill>
              <a:latin typeface="Aptos" panose="020B0004020202020204" pitchFamily="34" charset="0"/>
            </a:endParaRPr>
          </a:p>
          <a:p>
            <a:pPr>
              <a:defRPr sz="1400" b="0" i="0" u="none" strike="noStrike" kern="1200" spc="0" baseline="0">
                <a:solidFill>
                  <a:srgbClr val="4B23CF"/>
                </a:solidFill>
                <a:latin typeface="+mn-lt"/>
                <a:ea typeface="+mn-ea"/>
                <a:cs typeface="+mn-cs"/>
              </a:defRPr>
            </a:pPr>
            <a:r>
              <a:rPr lang="es-ES" sz="1200" b="1" i="0" u="none" strike="noStrike" kern="1200" spc="50" baseline="0">
                <a:solidFill>
                  <a:sysClr val="windowText" lastClr="000000"/>
                </a:solidFill>
                <a:latin typeface="Aptos" panose="020B0004020202020204" pitchFamily="34" charset="0"/>
              </a:rPr>
              <a:t>PRICE PER SHARE</a:t>
            </a:r>
          </a:p>
        </c:rich>
      </c:tx>
      <c:overlay val="0"/>
      <c:spPr>
        <a:noFill/>
        <a:ln>
          <a:noFill/>
        </a:ln>
        <a:effectLst/>
      </c:spPr>
    </c:title>
    <c:autoTitleDeleted val="0"/>
    <c:plotArea>
      <c:layout>
        <c:manualLayout>
          <c:layoutTarget val="inner"/>
          <c:xMode val="edge"/>
          <c:yMode val="edge"/>
          <c:x val="0.13680555555555557"/>
          <c:y val="0.23607326388888888"/>
          <c:w val="0.79363767361111115"/>
          <c:h val="0.61163923611111115"/>
        </c:manualLayout>
      </c:layout>
      <c:lineChart>
        <c:grouping val="standard"/>
        <c:varyColors val="0"/>
        <c:ser>
          <c:idx val="0"/>
          <c:order val="0"/>
          <c:tx>
            <c:strRef>
              <c:f>'Cap Table'!$C$84</c:f>
              <c:strCache>
                <c:ptCount val="1"/>
                <c:pt idx="0">
                  <c:v>Price per Share</c:v>
                </c:pt>
              </c:strCache>
            </c:strRef>
          </c:tx>
          <c:spPr>
            <a:ln w="28575">
              <a:solidFill>
                <a:srgbClr val="2351CF"/>
              </a:solidFill>
            </a:ln>
          </c:spPr>
          <c:marker>
            <c:symbol val="none"/>
          </c:marker>
          <c:dLbls>
            <c:numFmt formatCode="#,##0.0;\(#,##0.0\);" sourceLinked="0"/>
            <c:spPr>
              <a:solidFill>
                <a:schemeClr val="bg1"/>
              </a:solidFill>
              <a:ln w="15875">
                <a:solidFill>
                  <a:srgbClr val="2351CF"/>
                </a:solidFill>
              </a:ln>
              <a:effectLst/>
            </c:spPr>
            <c:txPr>
              <a:bodyPr rot="0" spcFirstLastPara="1" vertOverflow="ellipsis" vert="horz" wrap="square" lIns="72000" tIns="54000" rIns="72000" bIns="54000" anchor="ctr" anchorCtr="1">
                <a:spAutoFit/>
              </a:bodyPr>
              <a:lstStyle/>
              <a:p>
                <a:pPr>
                  <a:defRPr sz="1000" b="1" i="0" u="none" strike="noStrike" kern="1200" spc="50" baseline="0">
                    <a:solidFill>
                      <a:sysClr val="windowText" lastClr="000000"/>
                    </a:solidFill>
                    <a:latin typeface="Aptos" panose="020B0004020202020204" pitchFamily="34" charset="0"/>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'Cap Table'!$E$1:$I$1</c:f>
              <c:strCache>
                <c:ptCount val="5"/>
                <c:pt idx="0">
                  <c:v>Pre-Seed</c:v>
                </c:pt>
                <c:pt idx="1">
                  <c:v>Seed</c:v>
                </c:pt>
                <c:pt idx="2">
                  <c:v>Series A</c:v>
                </c:pt>
                <c:pt idx="3">
                  <c:v>Series B</c:v>
                </c:pt>
                <c:pt idx="4">
                  <c:v>Series C</c:v>
                </c:pt>
              </c:strCache>
            </c:strRef>
          </c:cat>
          <c:val>
            <c:numRef>
              <c:f>'Cap Table'!$E$84:$I$84</c:f>
              <c:numCache>
                <c:formatCode>#,##0.00;\(#,##0.00\);\-</c:formatCode>
                <c:ptCount val="5"/>
                <c:pt idx="0">
                  <c:v>1.0111111111111113</c:v>
                </c:pt>
                <c:pt idx="1">
                  <c:v>2.0020000000000002</c:v>
                </c:pt>
                <c:pt idx="2">
                  <c:v>6.9999999999999991</c:v>
                </c:pt>
                <c:pt idx="3">
                  <c:v>14</c:v>
                </c:pt>
                <c:pt idx="4">
                  <c:v>20</c:v>
                </c:pt>
              </c:numCache>
            </c:numRef>
          </c:val>
          <c:smooth val="0"/>
          <c:extLst>
            <c:ext xmlns:c16="http://schemas.microsoft.com/office/drawing/2014/chart" uri="{C3380CC4-5D6E-409C-BE32-E72D297353CC}">
              <c16:uniqueId val="{00000000-22CB-4AE1-8A64-A918A1F69881}"/>
            </c:ext>
          </c:extLst>
        </c:ser>
        <c:dLbls>
          <c:dLblPos val="ctr"/>
          <c:showLegendKey val="0"/>
          <c:showVal val="1"/>
          <c:showCatName val="0"/>
          <c:showSerName val="0"/>
          <c:showPercent val="0"/>
          <c:showBubbleSize val="0"/>
        </c:dLbls>
        <c:smooth val="0"/>
        <c:axId val="2003607071"/>
        <c:axId val="2003610911"/>
      </c:lineChart>
      <c:catAx>
        <c:axId val="2003607071"/>
        <c:scaling>
          <c:orientation val="minMax"/>
        </c:scaling>
        <c:delete val="0"/>
        <c:axPos val="b"/>
        <c:numFmt formatCode="mmm\-yy" sourceLinked="0"/>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spc="50" baseline="0">
                <a:solidFill>
                  <a:sysClr val="windowText" lastClr="000000"/>
                </a:solidFill>
                <a:latin typeface="Aptos" panose="020B0004020202020204" pitchFamily="34" charset="0"/>
                <a:ea typeface="+mn-ea"/>
                <a:cs typeface="+mn-cs"/>
              </a:defRPr>
            </a:pPr>
            <a:endParaRPr lang="es-ES"/>
          </a:p>
        </c:txPr>
        <c:crossAx val="2003610911"/>
        <c:crosses val="autoZero"/>
        <c:auto val="1"/>
        <c:lblAlgn val="ctr"/>
        <c:lblOffset val="100"/>
        <c:noMultiLvlLbl val="1"/>
      </c:catAx>
      <c:valAx>
        <c:axId val="2003610911"/>
        <c:scaling>
          <c:orientation val="minMax"/>
        </c:scaling>
        <c:delete val="0"/>
        <c:axPos val="l"/>
        <c:majorGridlines>
          <c:spPr>
            <a:ln w="9525" cap="flat" cmpd="sng" algn="ctr">
              <a:solidFill>
                <a:srgbClr val="9EA3B0">
                  <a:alpha val="50000"/>
                </a:srgbClr>
              </a:solidFill>
              <a:round/>
            </a:ln>
            <a:effectLst/>
          </c:spPr>
        </c:majorGridlines>
        <c:numFmt formatCode="#,##0;\(#,##0\);\-" sourceLinked="0"/>
        <c:majorTickMark val="out"/>
        <c:minorTickMark val="none"/>
        <c:tickLblPos val="low"/>
        <c:spPr>
          <a:noFill/>
          <a:ln>
            <a:noFill/>
          </a:ln>
          <a:effectLst/>
        </c:spPr>
        <c:txPr>
          <a:bodyPr rot="-60000000" spcFirstLastPara="1" vertOverflow="ellipsis" vert="horz" wrap="square" anchor="ctr" anchorCtr="1"/>
          <a:lstStyle/>
          <a:p>
            <a:pPr>
              <a:defRPr sz="1000" b="0" i="0" u="none" strike="noStrike" kern="1200" spc="50" baseline="0">
                <a:solidFill>
                  <a:sysClr val="windowText" lastClr="000000"/>
                </a:solidFill>
                <a:latin typeface="Aptos" panose="020B0004020202020204" pitchFamily="34" charset="0"/>
                <a:ea typeface="+mn-ea"/>
                <a:cs typeface="+mn-cs"/>
              </a:defRPr>
            </a:pPr>
            <a:endParaRPr lang="es-ES"/>
          </a:p>
        </c:txPr>
        <c:crossAx val="2003607071"/>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solidFill>
        <a:srgbClr val="9EA3B0"/>
      </a:solidFill>
      <a:round/>
    </a:ln>
    <a:effectLst/>
  </c:spPr>
  <c:txPr>
    <a:bodyPr/>
    <a:lstStyle/>
    <a:p>
      <a:pPr>
        <a:defRPr/>
      </a:pPr>
      <a:endParaRPr lang="es-E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0"/>
          <a:lstStyle/>
          <a:p>
            <a:pPr>
              <a:defRPr sz="1400" b="0" i="0" u="none" strike="noStrike" kern="1200" spc="0" baseline="0">
                <a:solidFill>
                  <a:srgbClr val="4B23CF"/>
                </a:solidFill>
                <a:latin typeface="+mn-lt"/>
                <a:ea typeface="+mn-ea"/>
                <a:cs typeface="+mn-cs"/>
              </a:defRPr>
            </a:pPr>
            <a:endParaRPr lang="es-ES" sz="1200" b="0" baseline="0">
              <a:solidFill>
                <a:sysClr val="windowText" lastClr="000000"/>
              </a:solidFill>
              <a:latin typeface="Aptos" panose="020B0004020202020204" pitchFamily="34" charset="0"/>
            </a:endParaRPr>
          </a:p>
          <a:p>
            <a:pPr>
              <a:defRPr sz="1400" b="0" i="0" u="none" strike="noStrike" kern="1200" spc="0" baseline="0">
                <a:solidFill>
                  <a:srgbClr val="4B23CF"/>
                </a:solidFill>
                <a:latin typeface="+mn-lt"/>
                <a:ea typeface="+mn-ea"/>
                <a:cs typeface="+mn-cs"/>
              </a:defRPr>
            </a:pPr>
            <a:r>
              <a:rPr lang="es-ES" sz="1200" b="1" i="0" u="none" strike="noStrike" kern="1200" spc="50" baseline="0">
                <a:solidFill>
                  <a:sysClr val="windowText" lastClr="000000"/>
                </a:solidFill>
                <a:latin typeface="Aptos" panose="020B0004020202020204" pitchFamily="34" charset="0"/>
              </a:rPr>
              <a:t>SEED INVESTORS EQUITY OWNERSHIP</a:t>
            </a:r>
          </a:p>
        </c:rich>
      </c:tx>
      <c:overlay val="0"/>
      <c:spPr>
        <a:noFill/>
        <a:ln>
          <a:noFill/>
        </a:ln>
        <a:effectLst/>
      </c:spPr>
    </c:title>
    <c:autoTitleDeleted val="0"/>
    <c:plotArea>
      <c:layout>
        <c:manualLayout>
          <c:layoutTarget val="inner"/>
          <c:xMode val="edge"/>
          <c:yMode val="edge"/>
          <c:x val="0.13680555555555557"/>
          <c:y val="0.23607326388888888"/>
          <c:w val="0.79363767361111115"/>
          <c:h val="0.61163923611111115"/>
        </c:manualLayout>
      </c:layout>
      <c:lineChart>
        <c:grouping val="standard"/>
        <c:varyColors val="0"/>
        <c:ser>
          <c:idx val="0"/>
          <c:order val="0"/>
          <c:tx>
            <c:strRef>
              <c:f>'Cap Table'!$C$55</c:f>
              <c:strCache>
                <c:ptCount val="1"/>
                <c:pt idx="0">
                  <c:v>Seed Investors</c:v>
                </c:pt>
              </c:strCache>
            </c:strRef>
          </c:tx>
          <c:marker>
            <c:symbol val="none"/>
          </c:marker>
          <c:dLbls>
            <c:numFmt formatCode="0.0%;\(0.0%\);" sourceLinked="0"/>
            <c:spPr>
              <a:solidFill>
                <a:schemeClr val="bg1"/>
              </a:solidFill>
              <a:ln w="15875">
                <a:solidFill>
                  <a:srgbClr val="2351CF"/>
                </a:solidFill>
              </a:ln>
              <a:effectLst/>
            </c:spPr>
            <c:txPr>
              <a:bodyPr rot="0" spcFirstLastPara="1" vertOverflow="ellipsis" vert="horz" wrap="square" lIns="72000" tIns="54000" rIns="72000" bIns="54000" anchor="ctr" anchorCtr="1">
                <a:spAutoFit/>
              </a:bodyPr>
              <a:lstStyle/>
              <a:p>
                <a:pPr>
                  <a:defRPr sz="1000" b="1" i="0" u="none" strike="noStrike" kern="1200" spc="50" baseline="0">
                    <a:solidFill>
                      <a:sysClr val="windowText" lastClr="000000"/>
                    </a:solidFill>
                    <a:latin typeface="Aptos" panose="020B0004020202020204" pitchFamily="34" charset="0"/>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'Cap Table'!$E$1:$I$1</c:f>
              <c:strCache>
                <c:ptCount val="5"/>
                <c:pt idx="0">
                  <c:v>Pre-Seed</c:v>
                </c:pt>
                <c:pt idx="1">
                  <c:v>Seed</c:v>
                </c:pt>
                <c:pt idx="2">
                  <c:v>Series A</c:v>
                </c:pt>
                <c:pt idx="3">
                  <c:v>Series B</c:v>
                </c:pt>
                <c:pt idx="4">
                  <c:v>Series C</c:v>
                </c:pt>
              </c:strCache>
            </c:strRef>
          </c:cat>
          <c:val>
            <c:numRef>
              <c:f>'Cap Table'!$E$55:$I$55</c:f>
              <c:numCache>
                <c:formatCode>0.0%;\(0.0%\);\-</c:formatCode>
                <c:ptCount val="5"/>
                <c:pt idx="0">
                  <c:v>0</c:v>
                </c:pt>
                <c:pt idx="1">
                  <c:v>0.12</c:v>
                </c:pt>
                <c:pt idx="2">
                  <c:v>0.11474908200734393</c:v>
                </c:pt>
                <c:pt idx="3">
                  <c:v>0.11350737797956868</c:v>
                </c:pt>
                <c:pt idx="4">
                  <c:v>0.11307910637351537</c:v>
                </c:pt>
              </c:numCache>
            </c:numRef>
          </c:val>
          <c:smooth val="0"/>
          <c:extLst>
            <c:ext xmlns:c16="http://schemas.microsoft.com/office/drawing/2014/chart" uri="{C3380CC4-5D6E-409C-BE32-E72D297353CC}">
              <c16:uniqueId val="{00000000-7E58-4316-92EB-7660EDA66EFC}"/>
            </c:ext>
          </c:extLst>
        </c:ser>
        <c:dLbls>
          <c:dLblPos val="ctr"/>
          <c:showLegendKey val="0"/>
          <c:showVal val="1"/>
          <c:showCatName val="0"/>
          <c:showSerName val="0"/>
          <c:showPercent val="0"/>
          <c:showBubbleSize val="0"/>
        </c:dLbls>
        <c:smooth val="0"/>
        <c:axId val="2003607071"/>
        <c:axId val="2003610911"/>
      </c:lineChart>
      <c:catAx>
        <c:axId val="2003607071"/>
        <c:scaling>
          <c:orientation val="minMax"/>
        </c:scaling>
        <c:delete val="0"/>
        <c:axPos val="b"/>
        <c:numFmt formatCode="mmm\-yy" sourceLinked="0"/>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spc="50" baseline="0">
                <a:solidFill>
                  <a:sysClr val="windowText" lastClr="000000"/>
                </a:solidFill>
                <a:latin typeface="Aptos" panose="020B0004020202020204" pitchFamily="34" charset="0"/>
                <a:ea typeface="+mn-ea"/>
                <a:cs typeface="+mn-cs"/>
              </a:defRPr>
            </a:pPr>
            <a:endParaRPr lang="es-ES"/>
          </a:p>
        </c:txPr>
        <c:crossAx val="2003610911"/>
        <c:crosses val="autoZero"/>
        <c:auto val="1"/>
        <c:lblAlgn val="ctr"/>
        <c:lblOffset val="100"/>
        <c:noMultiLvlLbl val="1"/>
      </c:catAx>
      <c:valAx>
        <c:axId val="2003610911"/>
        <c:scaling>
          <c:orientation val="minMax"/>
          <c:max val="1"/>
          <c:min val="0"/>
        </c:scaling>
        <c:delete val="0"/>
        <c:axPos val="l"/>
        <c:majorGridlines>
          <c:spPr>
            <a:ln w="9525" cap="flat" cmpd="sng" algn="ctr">
              <a:solidFill>
                <a:srgbClr val="9EA3B0">
                  <a:alpha val="50000"/>
                </a:srgbClr>
              </a:solidFill>
              <a:round/>
            </a:ln>
            <a:effectLst/>
          </c:spPr>
        </c:majorGridlines>
        <c:numFmt formatCode="0%;\(0%\);\-" sourceLinked="0"/>
        <c:majorTickMark val="out"/>
        <c:minorTickMark val="none"/>
        <c:tickLblPos val="low"/>
        <c:spPr>
          <a:noFill/>
          <a:ln>
            <a:noFill/>
          </a:ln>
          <a:effectLst/>
        </c:spPr>
        <c:txPr>
          <a:bodyPr rot="-60000000" spcFirstLastPara="1" vertOverflow="ellipsis" vert="horz" wrap="square" anchor="ctr" anchorCtr="1"/>
          <a:lstStyle/>
          <a:p>
            <a:pPr>
              <a:defRPr sz="1000" b="0" i="0" u="none" strike="noStrike" kern="1200" spc="50" baseline="0">
                <a:solidFill>
                  <a:sysClr val="windowText" lastClr="000000"/>
                </a:solidFill>
                <a:latin typeface="Aptos" panose="020B0004020202020204" pitchFamily="34" charset="0"/>
                <a:ea typeface="+mn-ea"/>
                <a:cs typeface="+mn-cs"/>
              </a:defRPr>
            </a:pPr>
            <a:endParaRPr lang="es-ES"/>
          </a:p>
        </c:txPr>
        <c:crossAx val="2003607071"/>
        <c:crosses val="autoZero"/>
        <c:crossBetween val="between"/>
        <c:majorUnit val="0.2"/>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solidFill>
        <a:srgbClr val="9EA3B0"/>
      </a:solidFill>
      <a:round/>
    </a:ln>
    <a:effectLst/>
  </c:spPr>
  <c:txPr>
    <a:bodyPr/>
    <a:lstStyle/>
    <a:p>
      <a:pPr>
        <a:defRPr/>
      </a:pPr>
      <a:endParaRPr lang="es-E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0"/>
          <a:lstStyle/>
          <a:p>
            <a:pPr>
              <a:defRPr sz="1400" b="0" i="0" u="none" strike="noStrike" kern="1200" spc="0" baseline="0">
                <a:solidFill>
                  <a:srgbClr val="4B23CF"/>
                </a:solidFill>
                <a:latin typeface="+mn-lt"/>
                <a:ea typeface="+mn-ea"/>
                <a:cs typeface="+mn-cs"/>
              </a:defRPr>
            </a:pPr>
            <a:endParaRPr lang="es-ES" sz="1200" b="0" baseline="0">
              <a:solidFill>
                <a:sysClr val="windowText" lastClr="000000"/>
              </a:solidFill>
              <a:latin typeface="Aptos" panose="020B0004020202020204" pitchFamily="34" charset="0"/>
            </a:endParaRPr>
          </a:p>
          <a:p>
            <a:pPr>
              <a:defRPr sz="1400" b="0" i="0" u="none" strike="noStrike" kern="1200" spc="0" baseline="0">
                <a:solidFill>
                  <a:srgbClr val="4B23CF"/>
                </a:solidFill>
                <a:latin typeface="+mn-lt"/>
                <a:ea typeface="+mn-ea"/>
                <a:cs typeface="+mn-cs"/>
              </a:defRPr>
            </a:pPr>
            <a:r>
              <a:rPr lang="es-ES" sz="1200" b="1" i="0" u="none" strike="noStrike" kern="1200" spc="50" baseline="0">
                <a:solidFill>
                  <a:sysClr val="windowText" lastClr="000000"/>
                </a:solidFill>
                <a:latin typeface="Aptos" panose="020B0004020202020204" pitchFamily="34" charset="0"/>
              </a:rPr>
              <a:t>PRE-SEED INVESTORS EQUITY OWNERSHIP</a:t>
            </a:r>
          </a:p>
        </c:rich>
      </c:tx>
      <c:overlay val="0"/>
      <c:spPr>
        <a:noFill/>
        <a:ln>
          <a:noFill/>
        </a:ln>
        <a:effectLst/>
      </c:spPr>
    </c:title>
    <c:autoTitleDeleted val="0"/>
    <c:plotArea>
      <c:layout>
        <c:manualLayout>
          <c:layoutTarget val="inner"/>
          <c:xMode val="edge"/>
          <c:yMode val="edge"/>
          <c:x val="0.13680555555555557"/>
          <c:y val="0.23607326388888888"/>
          <c:w val="0.79363767361111115"/>
          <c:h val="0.61163923611111115"/>
        </c:manualLayout>
      </c:layout>
      <c:lineChart>
        <c:grouping val="standard"/>
        <c:varyColors val="0"/>
        <c:ser>
          <c:idx val="0"/>
          <c:order val="0"/>
          <c:tx>
            <c:strRef>
              <c:f>'Cap Table'!$C$54</c:f>
              <c:strCache>
                <c:ptCount val="1"/>
                <c:pt idx="0">
                  <c:v>Pre-Seed Investors</c:v>
                </c:pt>
              </c:strCache>
            </c:strRef>
          </c:tx>
          <c:marker>
            <c:symbol val="none"/>
          </c:marker>
          <c:dLbls>
            <c:numFmt formatCode="0.0%;\(0.0%\);" sourceLinked="0"/>
            <c:spPr>
              <a:solidFill>
                <a:schemeClr val="bg1"/>
              </a:solidFill>
              <a:ln w="15875">
                <a:solidFill>
                  <a:srgbClr val="2351CF"/>
                </a:solidFill>
              </a:ln>
              <a:effectLst/>
            </c:spPr>
            <c:txPr>
              <a:bodyPr rot="0" spcFirstLastPara="1" vertOverflow="ellipsis" vert="horz" wrap="square" lIns="72000" tIns="54000" rIns="72000" bIns="54000" anchor="ctr" anchorCtr="1">
                <a:spAutoFit/>
              </a:bodyPr>
              <a:lstStyle/>
              <a:p>
                <a:pPr>
                  <a:defRPr sz="1000" b="1" i="0" u="none" strike="noStrike" kern="1200" spc="50" baseline="0">
                    <a:solidFill>
                      <a:sysClr val="windowText" lastClr="000000"/>
                    </a:solidFill>
                    <a:latin typeface="Aptos" panose="020B0004020202020204" pitchFamily="34" charset="0"/>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'Cap Table'!$E$1:$I$1</c:f>
              <c:strCache>
                <c:ptCount val="5"/>
                <c:pt idx="0">
                  <c:v>Pre-Seed</c:v>
                </c:pt>
                <c:pt idx="1">
                  <c:v>Seed</c:v>
                </c:pt>
                <c:pt idx="2">
                  <c:v>Series A</c:v>
                </c:pt>
                <c:pt idx="3">
                  <c:v>Series B</c:v>
                </c:pt>
                <c:pt idx="4">
                  <c:v>Series C</c:v>
                </c:pt>
              </c:strCache>
            </c:strRef>
          </c:cat>
          <c:val>
            <c:numRef>
              <c:f>'Cap Table'!$E$54:$I$54</c:f>
              <c:numCache>
                <c:formatCode>0.0%;\(0.0%\);\-</c:formatCode>
                <c:ptCount val="5"/>
                <c:pt idx="0">
                  <c:v>0.09</c:v>
                </c:pt>
                <c:pt idx="1">
                  <c:v>7.9199999999999993E-2</c:v>
                </c:pt>
                <c:pt idx="2">
                  <c:v>7.573439412484699E-2</c:v>
                </c:pt>
                <c:pt idx="3">
                  <c:v>7.4914869466515321E-2</c:v>
                </c:pt>
                <c:pt idx="4">
                  <c:v>7.4632210206520139E-2</c:v>
                </c:pt>
              </c:numCache>
            </c:numRef>
          </c:val>
          <c:smooth val="0"/>
          <c:extLst>
            <c:ext xmlns:c16="http://schemas.microsoft.com/office/drawing/2014/chart" uri="{C3380CC4-5D6E-409C-BE32-E72D297353CC}">
              <c16:uniqueId val="{00000000-4B00-479D-9FCB-CE237D2D5884}"/>
            </c:ext>
          </c:extLst>
        </c:ser>
        <c:dLbls>
          <c:dLblPos val="ctr"/>
          <c:showLegendKey val="0"/>
          <c:showVal val="1"/>
          <c:showCatName val="0"/>
          <c:showSerName val="0"/>
          <c:showPercent val="0"/>
          <c:showBubbleSize val="0"/>
        </c:dLbls>
        <c:smooth val="0"/>
        <c:axId val="2003607071"/>
        <c:axId val="2003610911"/>
      </c:lineChart>
      <c:catAx>
        <c:axId val="2003607071"/>
        <c:scaling>
          <c:orientation val="minMax"/>
        </c:scaling>
        <c:delete val="0"/>
        <c:axPos val="b"/>
        <c:numFmt formatCode="mmm\-yy" sourceLinked="0"/>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spc="50" baseline="0">
                <a:solidFill>
                  <a:sysClr val="windowText" lastClr="000000"/>
                </a:solidFill>
                <a:latin typeface="Aptos" panose="020B0004020202020204" pitchFamily="34" charset="0"/>
                <a:ea typeface="+mn-ea"/>
                <a:cs typeface="+mn-cs"/>
              </a:defRPr>
            </a:pPr>
            <a:endParaRPr lang="es-ES"/>
          </a:p>
        </c:txPr>
        <c:crossAx val="2003610911"/>
        <c:crosses val="autoZero"/>
        <c:auto val="1"/>
        <c:lblAlgn val="ctr"/>
        <c:lblOffset val="100"/>
        <c:noMultiLvlLbl val="1"/>
      </c:catAx>
      <c:valAx>
        <c:axId val="2003610911"/>
        <c:scaling>
          <c:orientation val="minMax"/>
          <c:max val="1"/>
          <c:min val="0"/>
        </c:scaling>
        <c:delete val="0"/>
        <c:axPos val="l"/>
        <c:majorGridlines>
          <c:spPr>
            <a:ln w="9525" cap="flat" cmpd="sng" algn="ctr">
              <a:solidFill>
                <a:srgbClr val="9EA3B0">
                  <a:alpha val="50000"/>
                </a:srgbClr>
              </a:solidFill>
              <a:round/>
            </a:ln>
            <a:effectLst/>
          </c:spPr>
        </c:majorGridlines>
        <c:numFmt formatCode="0%;\(0%\);\-" sourceLinked="0"/>
        <c:majorTickMark val="out"/>
        <c:minorTickMark val="none"/>
        <c:tickLblPos val="low"/>
        <c:spPr>
          <a:noFill/>
          <a:ln>
            <a:noFill/>
          </a:ln>
          <a:effectLst/>
        </c:spPr>
        <c:txPr>
          <a:bodyPr rot="-60000000" spcFirstLastPara="1" vertOverflow="ellipsis" vert="horz" wrap="square" anchor="ctr" anchorCtr="1"/>
          <a:lstStyle/>
          <a:p>
            <a:pPr>
              <a:defRPr sz="1000" b="0" i="0" u="none" strike="noStrike" kern="1200" spc="50" baseline="0">
                <a:solidFill>
                  <a:sysClr val="windowText" lastClr="000000"/>
                </a:solidFill>
                <a:latin typeface="Aptos" panose="020B0004020202020204" pitchFamily="34" charset="0"/>
                <a:ea typeface="+mn-ea"/>
                <a:cs typeface="+mn-cs"/>
              </a:defRPr>
            </a:pPr>
            <a:endParaRPr lang="es-ES"/>
          </a:p>
        </c:txPr>
        <c:crossAx val="2003607071"/>
        <c:crosses val="autoZero"/>
        <c:crossBetween val="between"/>
        <c:majorUnit val="0.2"/>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solidFill>
        <a:srgbClr val="9EA3B0"/>
      </a:solidFill>
      <a:round/>
    </a:ln>
    <a:effectLst/>
  </c:spPr>
  <c:txPr>
    <a:bodyPr/>
    <a:lstStyle/>
    <a:p>
      <a:pPr>
        <a:defRPr/>
      </a:pPr>
      <a:endParaRPr lang="es-E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0"/>
          <a:lstStyle/>
          <a:p>
            <a:pPr>
              <a:defRPr sz="1400" b="0" i="0" u="none" strike="noStrike" kern="1200" spc="0" baseline="0">
                <a:solidFill>
                  <a:srgbClr val="4B23CF"/>
                </a:solidFill>
                <a:latin typeface="+mn-lt"/>
                <a:ea typeface="+mn-ea"/>
                <a:cs typeface="+mn-cs"/>
              </a:defRPr>
            </a:pPr>
            <a:endParaRPr lang="es-ES" sz="1200" b="0" baseline="0">
              <a:solidFill>
                <a:sysClr val="windowText" lastClr="000000"/>
              </a:solidFill>
              <a:latin typeface="Aptos" panose="020B0004020202020204" pitchFamily="34" charset="0"/>
            </a:endParaRPr>
          </a:p>
          <a:p>
            <a:pPr>
              <a:defRPr sz="1400" b="0" i="0" u="none" strike="noStrike" kern="1200" spc="0" baseline="0">
                <a:solidFill>
                  <a:srgbClr val="4B23CF"/>
                </a:solidFill>
                <a:latin typeface="+mn-lt"/>
                <a:ea typeface="+mn-ea"/>
                <a:cs typeface="+mn-cs"/>
              </a:defRPr>
            </a:pPr>
            <a:r>
              <a:rPr lang="es-ES" sz="1200" b="1" i="0" u="none" strike="noStrike" kern="1200" spc="50" baseline="0">
                <a:solidFill>
                  <a:sysClr val="windowText" lastClr="000000"/>
                </a:solidFill>
                <a:latin typeface="Aptos" panose="020B0004020202020204" pitchFamily="34" charset="0"/>
              </a:rPr>
              <a:t>SERIES A INVESTORS EQUITY OWNERSHIP</a:t>
            </a:r>
          </a:p>
        </c:rich>
      </c:tx>
      <c:overlay val="0"/>
      <c:spPr>
        <a:noFill/>
        <a:ln>
          <a:noFill/>
        </a:ln>
        <a:effectLst/>
      </c:spPr>
    </c:title>
    <c:autoTitleDeleted val="0"/>
    <c:plotArea>
      <c:layout>
        <c:manualLayout>
          <c:layoutTarget val="inner"/>
          <c:xMode val="edge"/>
          <c:yMode val="edge"/>
          <c:x val="0.13680555555555557"/>
          <c:y val="0.23607326388888888"/>
          <c:w val="0.79363767361111115"/>
          <c:h val="0.61163923611111115"/>
        </c:manualLayout>
      </c:layout>
      <c:lineChart>
        <c:grouping val="standard"/>
        <c:varyColors val="0"/>
        <c:ser>
          <c:idx val="0"/>
          <c:order val="0"/>
          <c:tx>
            <c:strRef>
              <c:f>'Cap Table'!$C$56</c:f>
              <c:strCache>
                <c:ptCount val="1"/>
                <c:pt idx="0">
                  <c:v>Series A Investors</c:v>
                </c:pt>
              </c:strCache>
            </c:strRef>
          </c:tx>
          <c:marker>
            <c:symbol val="none"/>
          </c:marker>
          <c:dLbls>
            <c:numFmt formatCode="0.0%;\(0.0%\);" sourceLinked="0"/>
            <c:spPr>
              <a:solidFill>
                <a:schemeClr val="bg1"/>
              </a:solidFill>
              <a:ln w="15875">
                <a:solidFill>
                  <a:srgbClr val="2351CF"/>
                </a:solidFill>
              </a:ln>
              <a:effectLst/>
            </c:spPr>
            <c:txPr>
              <a:bodyPr rot="0" spcFirstLastPara="1" vertOverflow="ellipsis" vert="horz" wrap="square" lIns="72000" tIns="54000" rIns="72000" bIns="54000" anchor="ctr" anchorCtr="1">
                <a:spAutoFit/>
              </a:bodyPr>
              <a:lstStyle/>
              <a:p>
                <a:pPr>
                  <a:defRPr sz="1000" b="1" i="0" u="none" strike="noStrike" kern="1200" spc="50" baseline="0">
                    <a:solidFill>
                      <a:sysClr val="windowText" lastClr="000000"/>
                    </a:solidFill>
                    <a:latin typeface="Aptos" panose="020B0004020202020204" pitchFamily="34" charset="0"/>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'Cap Table'!$E$1:$I$1</c:f>
              <c:strCache>
                <c:ptCount val="5"/>
                <c:pt idx="0">
                  <c:v>Pre-Seed</c:v>
                </c:pt>
                <c:pt idx="1">
                  <c:v>Seed</c:v>
                </c:pt>
                <c:pt idx="2">
                  <c:v>Series A</c:v>
                </c:pt>
                <c:pt idx="3">
                  <c:v>Series B</c:v>
                </c:pt>
                <c:pt idx="4">
                  <c:v>Series C</c:v>
                </c:pt>
              </c:strCache>
            </c:strRef>
          </c:cat>
          <c:val>
            <c:numRef>
              <c:f>'Cap Table'!$E$56:$I$56</c:f>
              <c:numCache>
                <c:formatCode>0.0%;\(0.0%\);\-</c:formatCode>
                <c:ptCount val="5"/>
                <c:pt idx="0">
                  <c:v>0</c:v>
                </c:pt>
                <c:pt idx="1">
                  <c:v>0</c:v>
                </c:pt>
                <c:pt idx="2">
                  <c:v>4.3757649938800491E-2</c:v>
                </c:pt>
                <c:pt idx="3">
                  <c:v>4.3284146802875526E-2</c:v>
                </c:pt>
                <c:pt idx="4">
                  <c:v>4.3120832563767197E-2</c:v>
                </c:pt>
              </c:numCache>
            </c:numRef>
          </c:val>
          <c:smooth val="0"/>
          <c:extLst>
            <c:ext xmlns:c16="http://schemas.microsoft.com/office/drawing/2014/chart" uri="{C3380CC4-5D6E-409C-BE32-E72D297353CC}">
              <c16:uniqueId val="{00000000-694A-42C4-AF83-BD72C39A91CE}"/>
            </c:ext>
          </c:extLst>
        </c:ser>
        <c:dLbls>
          <c:dLblPos val="ctr"/>
          <c:showLegendKey val="0"/>
          <c:showVal val="1"/>
          <c:showCatName val="0"/>
          <c:showSerName val="0"/>
          <c:showPercent val="0"/>
          <c:showBubbleSize val="0"/>
        </c:dLbls>
        <c:smooth val="0"/>
        <c:axId val="2003607071"/>
        <c:axId val="2003610911"/>
      </c:lineChart>
      <c:catAx>
        <c:axId val="2003607071"/>
        <c:scaling>
          <c:orientation val="minMax"/>
        </c:scaling>
        <c:delete val="0"/>
        <c:axPos val="b"/>
        <c:numFmt formatCode="mmm\-yy" sourceLinked="0"/>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spc="50" baseline="0">
                <a:solidFill>
                  <a:sysClr val="windowText" lastClr="000000"/>
                </a:solidFill>
                <a:latin typeface="Aptos" panose="020B0004020202020204" pitchFamily="34" charset="0"/>
                <a:ea typeface="+mn-ea"/>
                <a:cs typeface="+mn-cs"/>
              </a:defRPr>
            </a:pPr>
            <a:endParaRPr lang="es-ES"/>
          </a:p>
        </c:txPr>
        <c:crossAx val="2003610911"/>
        <c:crosses val="autoZero"/>
        <c:auto val="1"/>
        <c:lblAlgn val="ctr"/>
        <c:lblOffset val="100"/>
        <c:noMultiLvlLbl val="1"/>
      </c:catAx>
      <c:valAx>
        <c:axId val="2003610911"/>
        <c:scaling>
          <c:orientation val="minMax"/>
          <c:max val="1"/>
          <c:min val="0"/>
        </c:scaling>
        <c:delete val="0"/>
        <c:axPos val="l"/>
        <c:majorGridlines>
          <c:spPr>
            <a:ln w="9525" cap="flat" cmpd="sng" algn="ctr">
              <a:solidFill>
                <a:srgbClr val="9EA3B0">
                  <a:alpha val="50000"/>
                </a:srgbClr>
              </a:solidFill>
              <a:round/>
            </a:ln>
            <a:effectLst/>
          </c:spPr>
        </c:majorGridlines>
        <c:numFmt formatCode="0%;\(0%\);\-" sourceLinked="0"/>
        <c:majorTickMark val="out"/>
        <c:minorTickMark val="none"/>
        <c:tickLblPos val="low"/>
        <c:spPr>
          <a:noFill/>
          <a:ln>
            <a:noFill/>
          </a:ln>
          <a:effectLst/>
        </c:spPr>
        <c:txPr>
          <a:bodyPr rot="-60000000" spcFirstLastPara="1" vertOverflow="ellipsis" vert="horz" wrap="square" anchor="ctr" anchorCtr="1"/>
          <a:lstStyle/>
          <a:p>
            <a:pPr>
              <a:defRPr sz="1000" b="0" i="0" u="none" strike="noStrike" kern="1200" spc="50" baseline="0">
                <a:solidFill>
                  <a:sysClr val="windowText" lastClr="000000"/>
                </a:solidFill>
                <a:latin typeface="Aptos" panose="020B0004020202020204" pitchFamily="34" charset="0"/>
                <a:ea typeface="+mn-ea"/>
                <a:cs typeface="+mn-cs"/>
              </a:defRPr>
            </a:pPr>
            <a:endParaRPr lang="es-ES"/>
          </a:p>
        </c:txPr>
        <c:crossAx val="2003607071"/>
        <c:crosses val="autoZero"/>
        <c:crossBetween val="between"/>
        <c:majorUnit val="0.2"/>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solidFill>
        <a:srgbClr val="9EA3B0"/>
      </a:solidFill>
      <a:round/>
    </a:ln>
    <a:effectLst/>
  </c:spPr>
  <c:txPr>
    <a:bodyPr/>
    <a:lstStyle/>
    <a:p>
      <a:pPr>
        <a:defRPr/>
      </a:pPr>
      <a:endParaRPr lang="es-E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0"/>
          <a:lstStyle/>
          <a:p>
            <a:pPr>
              <a:defRPr sz="1400" b="0" i="0" u="none" strike="noStrike" kern="1200" spc="0" baseline="0">
                <a:solidFill>
                  <a:srgbClr val="4B23CF"/>
                </a:solidFill>
                <a:latin typeface="+mn-lt"/>
                <a:ea typeface="+mn-ea"/>
                <a:cs typeface="+mn-cs"/>
              </a:defRPr>
            </a:pPr>
            <a:endParaRPr lang="es-ES" sz="1200" b="0" baseline="0">
              <a:solidFill>
                <a:sysClr val="windowText" lastClr="000000"/>
              </a:solidFill>
              <a:latin typeface="Aptos" panose="020B0004020202020204" pitchFamily="34" charset="0"/>
            </a:endParaRPr>
          </a:p>
          <a:p>
            <a:pPr>
              <a:defRPr sz="1400" b="0" i="0" u="none" strike="noStrike" kern="1200" spc="0" baseline="0">
                <a:solidFill>
                  <a:srgbClr val="4B23CF"/>
                </a:solidFill>
                <a:latin typeface="+mn-lt"/>
                <a:ea typeface="+mn-ea"/>
                <a:cs typeface="+mn-cs"/>
              </a:defRPr>
            </a:pPr>
            <a:r>
              <a:rPr lang="es-ES" sz="1200" b="1" i="0" u="none" strike="noStrike" kern="1200" spc="50" baseline="0">
                <a:solidFill>
                  <a:sysClr val="windowText" lastClr="000000"/>
                </a:solidFill>
                <a:latin typeface="Aptos" panose="020B0004020202020204" pitchFamily="34" charset="0"/>
              </a:rPr>
              <a:t>SERIES B INVESTORS EQUITY OWNERSHIP</a:t>
            </a:r>
          </a:p>
        </c:rich>
      </c:tx>
      <c:overlay val="0"/>
      <c:spPr>
        <a:noFill/>
        <a:ln>
          <a:noFill/>
        </a:ln>
        <a:effectLst/>
      </c:spPr>
    </c:title>
    <c:autoTitleDeleted val="0"/>
    <c:plotArea>
      <c:layout>
        <c:manualLayout>
          <c:layoutTarget val="inner"/>
          <c:xMode val="edge"/>
          <c:yMode val="edge"/>
          <c:x val="0.13680555555555557"/>
          <c:y val="0.23607326388888888"/>
          <c:w val="0.79363767361111115"/>
          <c:h val="0.61163923611111115"/>
        </c:manualLayout>
      </c:layout>
      <c:lineChart>
        <c:grouping val="standard"/>
        <c:varyColors val="0"/>
        <c:ser>
          <c:idx val="0"/>
          <c:order val="0"/>
          <c:tx>
            <c:strRef>
              <c:f>'Cap Table'!$C$57</c:f>
              <c:strCache>
                <c:ptCount val="1"/>
                <c:pt idx="0">
                  <c:v>Series B Investors</c:v>
                </c:pt>
              </c:strCache>
            </c:strRef>
          </c:tx>
          <c:marker>
            <c:symbol val="none"/>
          </c:marker>
          <c:dLbls>
            <c:numFmt formatCode="0.0%;\(0.0%\);" sourceLinked="0"/>
            <c:spPr>
              <a:solidFill>
                <a:schemeClr val="bg1"/>
              </a:solidFill>
              <a:ln w="15875">
                <a:solidFill>
                  <a:srgbClr val="2351CF"/>
                </a:solidFill>
              </a:ln>
              <a:effectLst/>
            </c:spPr>
            <c:txPr>
              <a:bodyPr rot="0" spcFirstLastPara="1" vertOverflow="ellipsis" vert="horz" wrap="square" lIns="72000" tIns="54000" rIns="72000" bIns="54000" anchor="ctr" anchorCtr="1">
                <a:spAutoFit/>
              </a:bodyPr>
              <a:lstStyle/>
              <a:p>
                <a:pPr>
                  <a:defRPr sz="1000" b="1" i="0" u="none" strike="noStrike" kern="1200" spc="50" baseline="0">
                    <a:solidFill>
                      <a:sysClr val="windowText" lastClr="000000"/>
                    </a:solidFill>
                    <a:latin typeface="Aptos" panose="020B0004020202020204" pitchFamily="34" charset="0"/>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'Cap Table'!$E$1:$I$1</c:f>
              <c:strCache>
                <c:ptCount val="5"/>
                <c:pt idx="0">
                  <c:v>Pre-Seed</c:v>
                </c:pt>
                <c:pt idx="1">
                  <c:v>Seed</c:v>
                </c:pt>
                <c:pt idx="2">
                  <c:v>Series A</c:v>
                </c:pt>
                <c:pt idx="3">
                  <c:v>Series B</c:v>
                </c:pt>
                <c:pt idx="4">
                  <c:v>Series C</c:v>
                </c:pt>
              </c:strCache>
            </c:strRef>
          </c:cat>
          <c:val>
            <c:numRef>
              <c:f>'Cap Table'!$E$57:$I$57</c:f>
              <c:numCache>
                <c:formatCode>0.0%;\(0.0%\);\-</c:formatCode>
                <c:ptCount val="5"/>
                <c:pt idx="0">
                  <c:v>0</c:v>
                </c:pt>
                <c:pt idx="1">
                  <c:v>0</c:v>
                </c:pt>
                <c:pt idx="2">
                  <c:v>0</c:v>
                </c:pt>
                <c:pt idx="3">
                  <c:v>1.0821036700718881E-2</c:v>
                </c:pt>
                <c:pt idx="4">
                  <c:v>1.0780208140941799E-2</c:v>
                </c:pt>
              </c:numCache>
            </c:numRef>
          </c:val>
          <c:smooth val="0"/>
          <c:extLst>
            <c:ext xmlns:c16="http://schemas.microsoft.com/office/drawing/2014/chart" uri="{C3380CC4-5D6E-409C-BE32-E72D297353CC}">
              <c16:uniqueId val="{00000000-B968-495D-BC8D-7664E4FEFB3E}"/>
            </c:ext>
          </c:extLst>
        </c:ser>
        <c:dLbls>
          <c:dLblPos val="ctr"/>
          <c:showLegendKey val="0"/>
          <c:showVal val="1"/>
          <c:showCatName val="0"/>
          <c:showSerName val="0"/>
          <c:showPercent val="0"/>
          <c:showBubbleSize val="0"/>
        </c:dLbls>
        <c:smooth val="0"/>
        <c:axId val="2003607071"/>
        <c:axId val="2003610911"/>
      </c:lineChart>
      <c:catAx>
        <c:axId val="2003607071"/>
        <c:scaling>
          <c:orientation val="minMax"/>
        </c:scaling>
        <c:delete val="0"/>
        <c:axPos val="b"/>
        <c:numFmt formatCode="mmm\-yy" sourceLinked="0"/>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spc="50" baseline="0">
                <a:solidFill>
                  <a:sysClr val="windowText" lastClr="000000"/>
                </a:solidFill>
                <a:latin typeface="Aptos" panose="020B0004020202020204" pitchFamily="34" charset="0"/>
                <a:ea typeface="+mn-ea"/>
                <a:cs typeface="+mn-cs"/>
              </a:defRPr>
            </a:pPr>
            <a:endParaRPr lang="es-ES"/>
          </a:p>
        </c:txPr>
        <c:crossAx val="2003610911"/>
        <c:crosses val="autoZero"/>
        <c:auto val="1"/>
        <c:lblAlgn val="ctr"/>
        <c:lblOffset val="100"/>
        <c:noMultiLvlLbl val="1"/>
      </c:catAx>
      <c:valAx>
        <c:axId val="2003610911"/>
        <c:scaling>
          <c:orientation val="minMax"/>
          <c:max val="1"/>
          <c:min val="0"/>
        </c:scaling>
        <c:delete val="0"/>
        <c:axPos val="l"/>
        <c:majorGridlines>
          <c:spPr>
            <a:ln w="9525" cap="flat" cmpd="sng" algn="ctr">
              <a:solidFill>
                <a:srgbClr val="9EA3B0">
                  <a:alpha val="50000"/>
                </a:srgbClr>
              </a:solidFill>
              <a:round/>
            </a:ln>
            <a:effectLst/>
          </c:spPr>
        </c:majorGridlines>
        <c:numFmt formatCode="0%;\(0%\);\-" sourceLinked="0"/>
        <c:majorTickMark val="out"/>
        <c:minorTickMark val="none"/>
        <c:tickLblPos val="low"/>
        <c:spPr>
          <a:noFill/>
          <a:ln>
            <a:noFill/>
          </a:ln>
          <a:effectLst/>
        </c:spPr>
        <c:txPr>
          <a:bodyPr rot="-60000000" spcFirstLastPara="1" vertOverflow="ellipsis" vert="horz" wrap="square" anchor="ctr" anchorCtr="1"/>
          <a:lstStyle/>
          <a:p>
            <a:pPr>
              <a:defRPr sz="1000" b="0" i="0" u="none" strike="noStrike" kern="1200" spc="50" baseline="0">
                <a:solidFill>
                  <a:sysClr val="windowText" lastClr="000000"/>
                </a:solidFill>
                <a:latin typeface="Aptos" panose="020B0004020202020204" pitchFamily="34" charset="0"/>
                <a:ea typeface="+mn-ea"/>
                <a:cs typeface="+mn-cs"/>
              </a:defRPr>
            </a:pPr>
            <a:endParaRPr lang="es-ES"/>
          </a:p>
        </c:txPr>
        <c:crossAx val="2003607071"/>
        <c:crosses val="autoZero"/>
        <c:crossBetween val="between"/>
        <c:majorUnit val="0.2"/>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solidFill>
        <a:srgbClr val="9EA3B0"/>
      </a:solidFill>
      <a:round/>
    </a:ln>
    <a:effectLst/>
  </c:spPr>
  <c:txPr>
    <a:bodyPr/>
    <a:lstStyle/>
    <a:p>
      <a:pPr>
        <a:defRPr/>
      </a:pPr>
      <a:endParaRPr lang="es-E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0"/>
          <a:lstStyle/>
          <a:p>
            <a:pPr>
              <a:defRPr sz="1400" b="0" i="0" u="none" strike="noStrike" kern="1200" spc="0" baseline="0">
                <a:solidFill>
                  <a:srgbClr val="4B23CF"/>
                </a:solidFill>
                <a:latin typeface="+mn-lt"/>
                <a:ea typeface="+mn-ea"/>
                <a:cs typeface="+mn-cs"/>
              </a:defRPr>
            </a:pPr>
            <a:endParaRPr lang="es-ES" sz="1200" b="0" baseline="0">
              <a:solidFill>
                <a:sysClr val="windowText" lastClr="000000"/>
              </a:solidFill>
              <a:latin typeface="Aptos" panose="020B0004020202020204" pitchFamily="34" charset="0"/>
            </a:endParaRPr>
          </a:p>
          <a:p>
            <a:pPr>
              <a:defRPr sz="1400" b="0" i="0" u="none" strike="noStrike" kern="1200" spc="0" baseline="0">
                <a:solidFill>
                  <a:srgbClr val="4B23CF"/>
                </a:solidFill>
                <a:latin typeface="+mn-lt"/>
                <a:ea typeface="+mn-ea"/>
                <a:cs typeface="+mn-cs"/>
              </a:defRPr>
            </a:pPr>
            <a:r>
              <a:rPr lang="es-ES" sz="1200" b="1" i="0" u="none" strike="noStrike" kern="1200" spc="50" baseline="0">
                <a:solidFill>
                  <a:sysClr val="windowText" lastClr="000000"/>
                </a:solidFill>
                <a:latin typeface="Aptos" panose="020B0004020202020204" pitchFamily="34" charset="0"/>
              </a:rPr>
              <a:t>SERIES C INVESTORS EQUITY OWNERSHIP</a:t>
            </a:r>
          </a:p>
        </c:rich>
      </c:tx>
      <c:overlay val="0"/>
      <c:spPr>
        <a:noFill/>
        <a:ln>
          <a:noFill/>
        </a:ln>
        <a:effectLst/>
      </c:spPr>
    </c:title>
    <c:autoTitleDeleted val="0"/>
    <c:plotArea>
      <c:layout>
        <c:manualLayout>
          <c:layoutTarget val="inner"/>
          <c:xMode val="edge"/>
          <c:yMode val="edge"/>
          <c:x val="0.13680555555555557"/>
          <c:y val="0.23607326388888888"/>
          <c:w val="0.79363767361111115"/>
          <c:h val="0.61163923611111115"/>
        </c:manualLayout>
      </c:layout>
      <c:lineChart>
        <c:grouping val="standard"/>
        <c:varyColors val="0"/>
        <c:ser>
          <c:idx val="0"/>
          <c:order val="0"/>
          <c:tx>
            <c:strRef>
              <c:f>'Cap Table'!$C$58</c:f>
              <c:strCache>
                <c:ptCount val="1"/>
                <c:pt idx="0">
                  <c:v>Series C Investors</c:v>
                </c:pt>
              </c:strCache>
            </c:strRef>
          </c:tx>
          <c:marker>
            <c:symbol val="none"/>
          </c:marker>
          <c:dLbls>
            <c:numFmt formatCode="0.0%;\(0.0%\);" sourceLinked="0"/>
            <c:spPr>
              <a:solidFill>
                <a:schemeClr val="bg1"/>
              </a:solidFill>
              <a:ln w="15875">
                <a:solidFill>
                  <a:srgbClr val="2351CF"/>
                </a:solidFill>
              </a:ln>
              <a:effectLst/>
            </c:spPr>
            <c:txPr>
              <a:bodyPr rot="0" spcFirstLastPara="1" vertOverflow="ellipsis" vert="horz" wrap="square" lIns="72000" tIns="54000" rIns="72000" bIns="54000" anchor="ctr" anchorCtr="1">
                <a:spAutoFit/>
              </a:bodyPr>
              <a:lstStyle/>
              <a:p>
                <a:pPr>
                  <a:defRPr sz="1000" b="1" i="0" u="none" strike="noStrike" kern="1200" spc="50" baseline="0">
                    <a:solidFill>
                      <a:sysClr val="windowText" lastClr="000000"/>
                    </a:solidFill>
                    <a:latin typeface="Aptos" panose="020B0004020202020204" pitchFamily="34" charset="0"/>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'Cap Table'!$E$1:$I$1</c:f>
              <c:strCache>
                <c:ptCount val="5"/>
                <c:pt idx="0">
                  <c:v>Pre-Seed</c:v>
                </c:pt>
                <c:pt idx="1">
                  <c:v>Seed</c:v>
                </c:pt>
                <c:pt idx="2">
                  <c:v>Series A</c:v>
                </c:pt>
                <c:pt idx="3">
                  <c:v>Series B</c:v>
                </c:pt>
                <c:pt idx="4">
                  <c:v>Series C</c:v>
                </c:pt>
              </c:strCache>
            </c:strRef>
          </c:cat>
          <c:val>
            <c:numRef>
              <c:f>'Cap Table'!$E$58:$I$58</c:f>
              <c:numCache>
                <c:formatCode>0.0%;\(0.0%\);\-</c:formatCode>
                <c:ptCount val="5"/>
                <c:pt idx="0">
                  <c:v>0</c:v>
                </c:pt>
                <c:pt idx="1">
                  <c:v>0</c:v>
                </c:pt>
                <c:pt idx="2">
                  <c:v>0</c:v>
                </c:pt>
                <c:pt idx="3">
                  <c:v>0</c:v>
                </c:pt>
                <c:pt idx="4">
                  <c:v>3.7730728493296298E-3</c:v>
                </c:pt>
              </c:numCache>
            </c:numRef>
          </c:val>
          <c:smooth val="0"/>
          <c:extLst>
            <c:ext xmlns:c16="http://schemas.microsoft.com/office/drawing/2014/chart" uri="{C3380CC4-5D6E-409C-BE32-E72D297353CC}">
              <c16:uniqueId val="{00000000-0D63-4366-ACD4-0163D86B00B0}"/>
            </c:ext>
          </c:extLst>
        </c:ser>
        <c:dLbls>
          <c:dLblPos val="ctr"/>
          <c:showLegendKey val="0"/>
          <c:showVal val="1"/>
          <c:showCatName val="0"/>
          <c:showSerName val="0"/>
          <c:showPercent val="0"/>
          <c:showBubbleSize val="0"/>
        </c:dLbls>
        <c:smooth val="0"/>
        <c:axId val="2003607071"/>
        <c:axId val="2003610911"/>
      </c:lineChart>
      <c:catAx>
        <c:axId val="2003607071"/>
        <c:scaling>
          <c:orientation val="minMax"/>
        </c:scaling>
        <c:delete val="0"/>
        <c:axPos val="b"/>
        <c:numFmt formatCode="mmm\-yy" sourceLinked="0"/>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spc="50" baseline="0">
                <a:solidFill>
                  <a:sysClr val="windowText" lastClr="000000"/>
                </a:solidFill>
                <a:latin typeface="Aptos" panose="020B0004020202020204" pitchFamily="34" charset="0"/>
                <a:ea typeface="+mn-ea"/>
                <a:cs typeface="+mn-cs"/>
              </a:defRPr>
            </a:pPr>
            <a:endParaRPr lang="es-ES"/>
          </a:p>
        </c:txPr>
        <c:crossAx val="2003610911"/>
        <c:crosses val="autoZero"/>
        <c:auto val="1"/>
        <c:lblAlgn val="ctr"/>
        <c:lblOffset val="100"/>
        <c:noMultiLvlLbl val="1"/>
      </c:catAx>
      <c:valAx>
        <c:axId val="2003610911"/>
        <c:scaling>
          <c:orientation val="minMax"/>
          <c:max val="1"/>
          <c:min val="0"/>
        </c:scaling>
        <c:delete val="0"/>
        <c:axPos val="l"/>
        <c:majorGridlines>
          <c:spPr>
            <a:ln w="9525" cap="flat" cmpd="sng" algn="ctr">
              <a:solidFill>
                <a:srgbClr val="9EA3B0">
                  <a:alpha val="50000"/>
                </a:srgbClr>
              </a:solidFill>
              <a:round/>
            </a:ln>
            <a:effectLst/>
          </c:spPr>
        </c:majorGridlines>
        <c:numFmt formatCode="0%;\(0%\);\-" sourceLinked="0"/>
        <c:majorTickMark val="out"/>
        <c:minorTickMark val="none"/>
        <c:tickLblPos val="low"/>
        <c:spPr>
          <a:noFill/>
          <a:ln>
            <a:noFill/>
          </a:ln>
          <a:effectLst/>
        </c:spPr>
        <c:txPr>
          <a:bodyPr rot="-60000000" spcFirstLastPara="1" vertOverflow="ellipsis" vert="horz" wrap="square" anchor="ctr" anchorCtr="1"/>
          <a:lstStyle/>
          <a:p>
            <a:pPr>
              <a:defRPr sz="1000" b="0" i="0" u="none" strike="noStrike" kern="1200" spc="50" baseline="0">
                <a:solidFill>
                  <a:sysClr val="windowText" lastClr="000000"/>
                </a:solidFill>
                <a:latin typeface="Aptos" panose="020B0004020202020204" pitchFamily="34" charset="0"/>
                <a:ea typeface="+mn-ea"/>
                <a:cs typeface="+mn-cs"/>
              </a:defRPr>
            </a:pPr>
            <a:endParaRPr lang="es-ES"/>
          </a:p>
        </c:txPr>
        <c:crossAx val="2003607071"/>
        <c:crosses val="autoZero"/>
        <c:crossBetween val="between"/>
        <c:majorUnit val="0.2"/>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solidFill>
        <a:srgbClr val="9EA3B0"/>
      </a:solidFill>
      <a:round/>
    </a:ln>
    <a:effectLst/>
  </c:spPr>
  <c:txPr>
    <a:bodyPr/>
    <a:lstStyle/>
    <a:p>
      <a:pPr>
        <a:defRPr/>
      </a:pPr>
      <a:endParaRPr lang="es-E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POST MONEY VALUATION</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areaChart>
        <c:grouping val="standar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dLbls>
            <c:dLbl>
              <c:idx val="0"/>
              <c:layout>
                <c:manualLayout>
                  <c:x val="6.9945365509775037E-2"/>
                  <c:y val="-0.2655958281823687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0A30-4719-A334-1F255832576C}"/>
                </c:ext>
              </c:extLst>
            </c:dLbl>
            <c:dLbl>
              <c:idx val="1"/>
              <c:layout>
                <c:manualLayout>
                  <c:x val="-1.9984390145650011E-2"/>
                  <c:y val="-0.269879631862729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0A30-4719-A334-1F255832576C}"/>
                </c:ext>
              </c:extLst>
            </c:dLbl>
            <c:dLbl>
              <c:idx val="2"/>
              <c:layout>
                <c:manualLayout>
                  <c:x val="-9.9921950728250972E-3"/>
                  <c:y val="-0.2570282208216470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A30-4719-A334-1F255832576C}"/>
                </c:ext>
              </c:extLst>
            </c:dLbl>
            <c:dLbl>
              <c:idx val="3"/>
              <c:layout>
                <c:manualLayout>
                  <c:x val="-3.4972682754887616E-2"/>
                  <c:y val="-0.3812585275521098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A30-4719-A334-1F255832576C}"/>
                </c:ext>
              </c:extLst>
            </c:dLbl>
            <c:dLbl>
              <c:idx val="4"/>
              <c:layout>
                <c:manualLayout>
                  <c:x val="-0.18985170638367521"/>
                  <c:y val="-0.394109938593192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A30-4719-A334-1F255832576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'Cap Table'!$E$5:$I$5</c:f>
              <c:strCache>
                <c:ptCount val="5"/>
                <c:pt idx="0">
                  <c:v>Pre-Seed</c:v>
                </c:pt>
                <c:pt idx="1">
                  <c:v>Seed</c:v>
                </c:pt>
                <c:pt idx="2">
                  <c:v>Series A</c:v>
                </c:pt>
                <c:pt idx="3">
                  <c:v>Series B</c:v>
                </c:pt>
                <c:pt idx="4">
                  <c:v>Series C</c:v>
                </c:pt>
              </c:strCache>
            </c:strRef>
          </c:cat>
          <c:val>
            <c:numRef>
              <c:f>'Cap Table'!$E$83:$I$83</c:f>
              <c:numCache>
                <c:formatCode>#,##0;\(#,##0\);\-</c:formatCode>
                <c:ptCount val="5"/>
                <c:pt idx="0">
                  <c:v>1111111.1111111112</c:v>
                </c:pt>
                <c:pt idx="1">
                  <c:v>2500000</c:v>
                </c:pt>
                <c:pt idx="2">
                  <c:v>9141258.7412587404</c:v>
                </c:pt>
                <c:pt idx="3">
                  <c:v>18482517.482517481</c:v>
                </c:pt>
                <c:pt idx="4">
                  <c:v>26503596.403596401</c:v>
                </c:pt>
              </c:numCache>
            </c:numRef>
          </c:val>
          <c:extLst>
            <c:ext xmlns:c16="http://schemas.microsoft.com/office/drawing/2014/chart" uri="{C3380CC4-5D6E-409C-BE32-E72D297353CC}">
              <c16:uniqueId val="{00000000-0A30-4719-A334-1F255832576C}"/>
            </c:ext>
          </c:extLst>
        </c:ser>
        <c:dLbls>
          <c:showLegendKey val="0"/>
          <c:showVal val="1"/>
          <c:showCatName val="0"/>
          <c:showSerName val="0"/>
          <c:showPercent val="0"/>
          <c:showBubbleSize val="0"/>
        </c:dLbls>
        <c:axId val="232215968"/>
        <c:axId val="232216448"/>
      </c:areaChart>
      <c:catAx>
        <c:axId val="232215968"/>
        <c:scaling>
          <c:orientation val="minMax"/>
        </c:scaling>
        <c:delete val="0"/>
        <c:axPos val="b"/>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232216448"/>
        <c:crosses val="autoZero"/>
        <c:auto val="1"/>
        <c:lblAlgn val="ctr"/>
        <c:lblOffset val="100"/>
        <c:noMultiLvlLbl val="0"/>
      </c:catAx>
      <c:valAx>
        <c:axId val="232216448"/>
        <c:scaling>
          <c:orientation val="minMax"/>
        </c:scaling>
        <c:delete val="0"/>
        <c:axPos val="l"/>
        <c:majorGridlines>
          <c:spPr>
            <a:ln w="9525" cap="flat" cmpd="sng" algn="ctr">
              <a:solidFill>
                <a:schemeClr val="tx2">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232215968"/>
        <c:crosses val="autoZero"/>
        <c:crossBetween val="midCat"/>
      </c:valAx>
      <c:spPr>
        <a:noFill/>
        <a:ln>
          <a:noFill/>
        </a:ln>
        <a:effectLst/>
      </c:spPr>
    </c:plotArea>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withinLinear" id="17">
  <a:schemeClr val="accent4"/>
</cs:colorStyle>
</file>

<file path=xl/charts/colors4.xml><?xml version="1.0" encoding="utf-8"?>
<cs:colorStyle xmlns:cs="http://schemas.microsoft.com/office/drawing/2012/chartStyle" xmlns:a="http://schemas.openxmlformats.org/drawingml/2006/main" meth="withinLinear" id="14">
  <a:schemeClr val="accent1"/>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5"/>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spPr>
      <a:ln w="9525" cap="flat" cmpd="sng" algn="ctr">
        <a:solidFill>
          <a:schemeClr val="tx2">
            <a:lumMod val="40000"/>
            <a:lumOff val="60000"/>
          </a:schemeClr>
        </a:solidFill>
        <a:round/>
      </a:ln>
    </cs:spPr>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22.xml"/><Relationship Id="rId2" Type="http://schemas.openxmlformats.org/officeDocument/2006/relationships/chart" Target="../charts/chart21.xml"/><Relationship Id="rId1" Type="http://schemas.openxmlformats.org/officeDocument/2006/relationships/chart" Target="../charts/chart20.xml"/><Relationship Id="rId5" Type="http://schemas.openxmlformats.org/officeDocument/2006/relationships/chart" Target="../charts/chart24.xml"/><Relationship Id="rId4" Type="http://schemas.openxmlformats.org/officeDocument/2006/relationships/chart" Target="../charts/chart2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4.xml.rels><?xml version="1.0" encoding="UTF-8" standalone="yes"?>
<Relationships xmlns="http://schemas.openxmlformats.org/package/2006/relationships"><Relationship Id="rId8" Type="http://schemas.openxmlformats.org/officeDocument/2006/relationships/chart" Target="../charts/chart34.xml"/><Relationship Id="rId3" Type="http://schemas.openxmlformats.org/officeDocument/2006/relationships/chart" Target="../charts/chart29.xml"/><Relationship Id="rId7" Type="http://schemas.openxmlformats.org/officeDocument/2006/relationships/chart" Target="../charts/chart33.xml"/><Relationship Id="rId2" Type="http://schemas.openxmlformats.org/officeDocument/2006/relationships/chart" Target="../charts/chart28.xml"/><Relationship Id="rId1" Type="http://schemas.openxmlformats.org/officeDocument/2006/relationships/chart" Target="../charts/chart27.xml"/><Relationship Id="rId6" Type="http://schemas.openxmlformats.org/officeDocument/2006/relationships/chart" Target="../charts/chart32.xml"/><Relationship Id="rId5" Type="http://schemas.openxmlformats.org/officeDocument/2006/relationships/chart" Target="../charts/chart31.xml"/><Relationship Id="rId10" Type="http://schemas.openxmlformats.org/officeDocument/2006/relationships/chart" Target="../charts/chart36.xml"/><Relationship Id="rId4" Type="http://schemas.openxmlformats.org/officeDocument/2006/relationships/chart" Target="../charts/chart30.xml"/><Relationship Id="rId9" Type="http://schemas.openxmlformats.org/officeDocument/2006/relationships/chart" Target="../charts/chart35.xml"/></Relationships>
</file>

<file path=xl/drawings/drawing1.xml><?xml version="1.0" encoding="utf-8"?>
<xdr:wsDr xmlns:xdr="http://schemas.openxmlformats.org/drawingml/2006/spreadsheetDrawing" xmlns:a="http://schemas.openxmlformats.org/drawingml/2006/main">
  <xdr:twoCellAnchor>
    <xdr:from>
      <xdr:col>18</xdr:col>
      <xdr:colOff>215900</xdr:colOff>
      <xdr:row>23</xdr:row>
      <xdr:rowOff>168277</xdr:rowOff>
    </xdr:from>
    <xdr:to>
      <xdr:col>24</xdr:col>
      <xdr:colOff>409575</xdr:colOff>
      <xdr:row>36</xdr:row>
      <xdr:rowOff>38101</xdr:rowOff>
    </xdr:to>
    <xdr:graphicFrame macro="">
      <xdr:nvGraphicFramePr>
        <xdr:cNvPr id="4" name="Chart 3">
          <a:extLst>
            <a:ext uri="{FF2B5EF4-FFF2-40B4-BE49-F238E27FC236}">
              <a16:creationId xmlns:a16="http://schemas.microsoft.com/office/drawing/2014/main" id="{CFC4A272-F77E-4AB5-B371-35AFC53CCC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438150</xdr:colOff>
      <xdr:row>48</xdr:row>
      <xdr:rowOff>161925</xdr:rowOff>
    </xdr:from>
    <xdr:to>
      <xdr:col>24</xdr:col>
      <xdr:colOff>457200</xdr:colOff>
      <xdr:row>64</xdr:row>
      <xdr:rowOff>114300</xdr:rowOff>
    </xdr:to>
    <xdr:graphicFrame macro="">
      <xdr:nvGraphicFramePr>
        <xdr:cNvPr id="5" name="Chart 4">
          <a:extLst>
            <a:ext uri="{FF2B5EF4-FFF2-40B4-BE49-F238E27FC236}">
              <a16:creationId xmlns:a16="http://schemas.microsoft.com/office/drawing/2014/main" id="{CB0DB0EE-F85A-4CEB-936F-1F2462608E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342900</xdr:colOff>
      <xdr:row>71</xdr:row>
      <xdr:rowOff>63500</xdr:rowOff>
    </xdr:from>
    <xdr:to>
      <xdr:col>24</xdr:col>
      <xdr:colOff>390525</xdr:colOff>
      <xdr:row>83</xdr:row>
      <xdr:rowOff>66675</xdr:rowOff>
    </xdr:to>
    <xdr:graphicFrame macro="">
      <xdr:nvGraphicFramePr>
        <xdr:cNvPr id="6" name="Chart 5">
          <a:extLst>
            <a:ext uri="{FF2B5EF4-FFF2-40B4-BE49-F238E27FC236}">
              <a16:creationId xmlns:a16="http://schemas.microsoft.com/office/drawing/2014/main" id="{962FAEB5-260E-49A4-80FF-16415C5690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438150</xdr:colOff>
      <xdr:row>97</xdr:row>
      <xdr:rowOff>161925</xdr:rowOff>
    </xdr:from>
    <xdr:to>
      <xdr:col>24</xdr:col>
      <xdr:colOff>457200</xdr:colOff>
      <xdr:row>113</xdr:row>
      <xdr:rowOff>114300</xdr:rowOff>
    </xdr:to>
    <xdr:graphicFrame macro="">
      <xdr:nvGraphicFramePr>
        <xdr:cNvPr id="7" name="Chart 6">
          <a:extLst>
            <a:ext uri="{FF2B5EF4-FFF2-40B4-BE49-F238E27FC236}">
              <a16:creationId xmlns:a16="http://schemas.microsoft.com/office/drawing/2014/main" id="{11D8FF8E-009D-4C24-81AB-F34C0276A1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374650</xdr:colOff>
      <xdr:row>120</xdr:row>
      <xdr:rowOff>166565</xdr:rowOff>
    </xdr:from>
    <xdr:to>
      <xdr:col>24</xdr:col>
      <xdr:colOff>451827</xdr:colOff>
      <xdr:row>133</xdr:row>
      <xdr:rowOff>85480</xdr:rowOff>
    </xdr:to>
    <xdr:graphicFrame macro="">
      <xdr:nvGraphicFramePr>
        <xdr:cNvPr id="8" name="Chart 7">
          <a:extLst>
            <a:ext uri="{FF2B5EF4-FFF2-40B4-BE49-F238E27FC236}">
              <a16:creationId xmlns:a16="http://schemas.microsoft.com/office/drawing/2014/main" id="{30245AA7-3541-4B1B-8ADB-167ABAD143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18</xdr:col>
      <xdr:colOff>438150</xdr:colOff>
      <xdr:row>147</xdr:row>
      <xdr:rowOff>161925</xdr:rowOff>
    </xdr:from>
    <xdr:to>
      <xdr:col>24</xdr:col>
      <xdr:colOff>457200</xdr:colOff>
      <xdr:row>163</xdr:row>
      <xdr:rowOff>114300</xdr:rowOff>
    </xdr:to>
    <xdr:graphicFrame macro="">
      <xdr:nvGraphicFramePr>
        <xdr:cNvPr id="9" name="Chart 8">
          <a:extLst>
            <a:ext uri="{FF2B5EF4-FFF2-40B4-BE49-F238E27FC236}">
              <a16:creationId xmlns:a16="http://schemas.microsoft.com/office/drawing/2014/main" id="{9E91BCEF-709D-4C3F-B8C6-317E0A3C56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18</xdr:col>
      <xdr:colOff>314324</xdr:colOff>
      <xdr:row>171</xdr:row>
      <xdr:rowOff>76201</xdr:rowOff>
    </xdr:from>
    <xdr:to>
      <xdr:col>25</xdr:col>
      <xdr:colOff>57149</xdr:colOff>
      <xdr:row>185</xdr:row>
      <xdr:rowOff>104776</xdr:rowOff>
    </xdr:to>
    <xdr:graphicFrame macro="">
      <xdr:nvGraphicFramePr>
        <xdr:cNvPr id="10" name="Chart 9">
          <a:extLst>
            <a:ext uri="{FF2B5EF4-FFF2-40B4-BE49-F238E27FC236}">
              <a16:creationId xmlns:a16="http://schemas.microsoft.com/office/drawing/2014/main" id="{4D0F0C20-5A59-45A7-8368-7A53B47918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19</xdr:col>
      <xdr:colOff>95250</xdr:colOff>
      <xdr:row>198</xdr:row>
      <xdr:rowOff>177800</xdr:rowOff>
    </xdr:from>
    <xdr:to>
      <xdr:col>23</xdr:col>
      <xdr:colOff>850900</xdr:colOff>
      <xdr:row>216</xdr:row>
      <xdr:rowOff>57150</xdr:rowOff>
    </xdr:to>
    <xdr:graphicFrame macro="">
      <xdr:nvGraphicFramePr>
        <xdr:cNvPr id="11" name="Chart 10">
          <a:extLst>
            <a:ext uri="{FF2B5EF4-FFF2-40B4-BE49-F238E27FC236}">
              <a16:creationId xmlns:a16="http://schemas.microsoft.com/office/drawing/2014/main" id="{0D7193C8-5AAB-4A3D-9EC6-CE9074ACE3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xdr:col>
      <xdr:colOff>314324</xdr:colOff>
      <xdr:row>221</xdr:row>
      <xdr:rowOff>76201</xdr:rowOff>
    </xdr:from>
    <xdr:to>
      <xdr:col>25</xdr:col>
      <xdr:colOff>57149</xdr:colOff>
      <xdr:row>234</xdr:row>
      <xdr:rowOff>104776</xdr:rowOff>
    </xdr:to>
    <xdr:graphicFrame macro="">
      <xdr:nvGraphicFramePr>
        <xdr:cNvPr id="12" name="Chart 11">
          <a:extLst>
            <a:ext uri="{FF2B5EF4-FFF2-40B4-BE49-F238E27FC236}">
              <a16:creationId xmlns:a16="http://schemas.microsoft.com/office/drawing/2014/main" id="{F2812306-A233-4298-8A7A-B023C0473B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19</xdr:col>
      <xdr:colOff>95250</xdr:colOff>
      <xdr:row>247</xdr:row>
      <xdr:rowOff>177800</xdr:rowOff>
    </xdr:from>
    <xdr:to>
      <xdr:col>23</xdr:col>
      <xdr:colOff>850900</xdr:colOff>
      <xdr:row>265</xdr:row>
      <xdr:rowOff>57150</xdr:rowOff>
    </xdr:to>
    <xdr:graphicFrame macro="">
      <xdr:nvGraphicFramePr>
        <xdr:cNvPr id="13" name="Chart 12">
          <a:extLst>
            <a:ext uri="{FF2B5EF4-FFF2-40B4-BE49-F238E27FC236}">
              <a16:creationId xmlns:a16="http://schemas.microsoft.com/office/drawing/2014/main" id="{ED9C1B37-BA2D-4BDA-BB2F-F239491C47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19</xdr:col>
      <xdr:colOff>95250</xdr:colOff>
      <xdr:row>272</xdr:row>
      <xdr:rowOff>152400</xdr:rowOff>
    </xdr:from>
    <xdr:to>
      <xdr:col>23</xdr:col>
      <xdr:colOff>857250</xdr:colOff>
      <xdr:row>286</xdr:row>
      <xdr:rowOff>19050</xdr:rowOff>
    </xdr:to>
    <xdr:graphicFrame macro="">
      <xdr:nvGraphicFramePr>
        <xdr:cNvPr id="14" name="Chart 13">
          <a:extLst>
            <a:ext uri="{FF2B5EF4-FFF2-40B4-BE49-F238E27FC236}">
              <a16:creationId xmlns:a16="http://schemas.microsoft.com/office/drawing/2014/main" id="{0FD9F978-B446-4F85-BE55-96EE80E7B5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18</xdr:col>
      <xdr:colOff>438150</xdr:colOff>
      <xdr:row>302</xdr:row>
      <xdr:rowOff>38100</xdr:rowOff>
    </xdr:from>
    <xdr:to>
      <xdr:col>24</xdr:col>
      <xdr:colOff>457200</xdr:colOff>
      <xdr:row>316</xdr:row>
      <xdr:rowOff>114299</xdr:rowOff>
    </xdr:to>
    <xdr:graphicFrame macro="">
      <xdr:nvGraphicFramePr>
        <xdr:cNvPr id="15" name="Chart 14">
          <a:extLst>
            <a:ext uri="{FF2B5EF4-FFF2-40B4-BE49-F238E27FC236}">
              <a16:creationId xmlns:a16="http://schemas.microsoft.com/office/drawing/2014/main" id="{AD16F876-9703-45E2-BC13-F44AD29737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18</xdr:col>
      <xdr:colOff>758826</xdr:colOff>
      <xdr:row>354</xdr:row>
      <xdr:rowOff>190499</xdr:rowOff>
    </xdr:from>
    <xdr:to>
      <xdr:col>23</xdr:col>
      <xdr:colOff>857250</xdr:colOff>
      <xdr:row>375</xdr:row>
      <xdr:rowOff>28574</xdr:rowOff>
    </xdr:to>
    <xdr:graphicFrame macro="">
      <xdr:nvGraphicFramePr>
        <xdr:cNvPr id="16" name="Chart 15">
          <a:extLst>
            <a:ext uri="{FF2B5EF4-FFF2-40B4-BE49-F238E27FC236}">
              <a16:creationId xmlns:a16="http://schemas.microsoft.com/office/drawing/2014/main" id="{42A4B178-C827-4866-801F-9C8E44CAEB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19</xdr:col>
      <xdr:colOff>95250</xdr:colOff>
      <xdr:row>323</xdr:row>
      <xdr:rowOff>152400</xdr:rowOff>
    </xdr:from>
    <xdr:to>
      <xdr:col>23</xdr:col>
      <xdr:colOff>857250</xdr:colOff>
      <xdr:row>337</xdr:row>
      <xdr:rowOff>19050</xdr:rowOff>
    </xdr:to>
    <xdr:graphicFrame macro="">
      <xdr:nvGraphicFramePr>
        <xdr:cNvPr id="17" name="Chart 16">
          <a:extLst>
            <a:ext uri="{FF2B5EF4-FFF2-40B4-BE49-F238E27FC236}">
              <a16:creationId xmlns:a16="http://schemas.microsoft.com/office/drawing/2014/main" id="{051DB4B1-DC43-4277-9DE9-772BD4EEA7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27</xdr:col>
      <xdr:colOff>241300</xdr:colOff>
      <xdr:row>414</xdr:row>
      <xdr:rowOff>171449</xdr:rowOff>
    </xdr:from>
    <xdr:to>
      <xdr:col>32</xdr:col>
      <xdr:colOff>479425</xdr:colOff>
      <xdr:row>430</xdr:row>
      <xdr:rowOff>85724</xdr:rowOff>
    </xdr:to>
    <xdr:graphicFrame macro="">
      <xdr:nvGraphicFramePr>
        <xdr:cNvPr id="18" name="Chart 17">
          <a:extLst>
            <a:ext uri="{FF2B5EF4-FFF2-40B4-BE49-F238E27FC236}">
              <a16:creationId xmlns:a16="http://schemas.microsoft.com/office/drawing/2014/main" id="{288F98BE-777E-47FF-AFB4-AE2F0001F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27</xdr:col>
      <xdr:colOff>301625</xdr:colOff>
      <xdr:row>433</xdr:row>
      <xdr:rowOff>38100</xdr:rowOff>
    </xdr:from>
    <xdr:to>
      <xdr:col>32</xdr:col>
      <xdr:colOff>539750</xdr:colOff>
      <xdr:row>448</xdr:row>
      <xdr:rowOff>120650</xdr:rowOff>
    </xdr:to>
    <xdr:graphicFrame macro="">
      <xdr:nvGraphicFramePr>
        <xdr:cNvPr id="19" name="Chart 18">
          <a:extLst>
            <a:ext uri="{FF2B5EF4-FFF2-40B4-BE49-F238E27FC236}">
              <a16:creationId xmlns:a16="http://schemas.microsoft.com/office/drawing/2014/main" id="{ECD8D7B6-F690-4F3B-8FD8-CBDDD40ADC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27</xdr:col>
      <xdr:colOff>288925</xdr:colOff>
      <xdr:row>395</xdr:row>
      <xdr:rowOff>95251</xdr:rowOff>
    </xdr:from>
    <xdr:to>
      <xdr:col>32</xdr:col>
      <xdr:colOff>527050</xdr:colOff>
      <xdr:row>411</xdr:row>
      <xdr:rowOff>133351</xdr:rowOff>
    </xdr:to>
    <xdr:graphicFrame macro="">
      <xdr:nvGraphicFramePr>
        <xdr:cNvPr id="20" name="Chart 19">
          <a:extLst>
            <a:ext uri="{FF2B5EF4-FFF2-40B4-BE49-F238E27FC236}">
              <a16:creationId xmlns:a16="http://schemas.microsoft.com/office/drawing/2014/main" id="{A21BCF4C-FB15-41F4-ADFD-9DF039C2D3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19</xdr:col>
      <xdr:colOff>22225</xdr:colOff>
      <xdr:row>455</xdr:row>
      <xdr:rowOff>22227</xdr:rowOff>
    </xdr:from>
    <xdr:to>
      <xdr:col>24</xdr:col>
      <xdr:colOff>15875</xdr:colOff>
      <xdr:row>468</xdr:row>
      <xdr:rowOff>161925</xdr:rowOff>
    </xdr:to>
    <xdr:graphicFrame macro="">
      <xdr:nvGraphicFramePr>
        <xdr:cNvPr id="23" name="Chart 22">
          <a:extLst>
            <a:ext uri="{FF2B5EF4-FFF2-40B4-BE49-F238E27FC236}">
              <a16:creationId xmlns:a16="http://schemas.microsoft.com/office/drawing/2014/main" id="{9419A240-5316-4242-B8FC-37D8086018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18</xdr:col>
      <xdr:colOff>438150</xdr:colOff>
      <xdr:row>481</xdr:row>
      <xdr:rowOff>161925</xdr:rowOff>
    </xdr:from>
    <xdr:to>
      <xdr:col>24</xdr:col>
      <xdr:colOff>457200</xdr:colOff>
      <xdr:row>497</xdr:row>
      <xdr:rowOff>114300</xdr:rowOff>
    </xdr:to>
    <xdr:graphicFrame macro="">
      <xdr:nvGraphicFramePr>
        <xdr:cNvPr id="24" name="Chart 23">
          <a:extLst>
            <a:ext uri="{FF2B5EF4-FFF2-40B4-BE49-F238E27FC236}">
              <a16:creationId xmlns:a16="http://schemas.microsoft.com/office/drawing/2014/main" id="{9822063C-F6DA-4E53-91C0-AAC258F767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28</xdr:col>
      <xdr:colOff>533400</xdr:colOff>
      <xdr:row>29</xdr:row>
      <xdr:rowOff>38100</xdr:rowOff>
    </xdr:from>
    <xdr:to>
      <xdr:col>34</xdr:col>
      <xdr:colOff>552450</xdr:colOff>
      <xdr:row>44</xdr:row>
      <xdr:rowOff>152400</xdr:rowOff>
    </xdr:to>
    <xdr:graphicFrame macro="">
      <xdr:nvGraphicFramePr>
        <xdr:cNvPr id="3" name="Chart 2">
          <a:extLst>
            <a:ext uri="{FF2B5EF4-FFF2-40B4-BE49-F238E27FC236}">
              <a16:creationId xmlns:a16="http://schemas.microsoft.com/office/drawing/2014/main" id="{358901EC-4E25-417B-8159-878C727E0B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533400</xdr:colOff>
      <xdr:row>56</xdr:row>
      <xdr:rowOff>38100</xdr:rowOff>
    </xdr:from>
    <xdr:to>
      <xdr:col>34</xdr:col>
      <xdr:colOff>552450</xdr:colOff>
      <xdr:row>71</xdr:row>
      <xdr:rowOff>152400</xdr:rowOff>
    </xdr:to>
    <xdr:graphicFrame macro="">
      <xdr:nvGraphicFramePr>
        <xdr:cNvPr id="5" name="Chart 4">
          <a:extLst>
            <a:ext uri="{FF2B5EF4-FFF2-40B4-BE49-F238E27FC236}">
              <a16:creationId xmlns:a16="http://schemas.microsoft.com/office/drawing/2014/main" id="{FC828405-A5F1-499A-80A4-DD8041C976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29</xdr:col>
      <xdr:colOff>930089</xdr:colOff>
      <xdr:row>128</xdr:row>
      <xdr:rowOff>89648</xdr:rowOff>
    </xdr:from>
    <xdr:to>
      <xdr:col>36</xdr:col>
      <xdr:colOff>481851</xdr:colOff>
      <xdr:row>146</xdr:row>
      <xdr:rowOff>33618</xdr:rowOff>
    </xdr:to>
    <xdr:graphicFrame macro="">
      <xdr:nvGraphicFramePr>
        <xdr:cNvPr id="6" name="Chart 5">
          <a:extLst>
            <a:ext uri="{FF2B5EF4-FFF2-40B4-BE49-F238E27FC236}">
              <a16:creationId xmlns:a16="http://schemas.microsoft.com/office/drawing/2014/main" id="{116AA623-3FFA-4469-8B15-D6679EE078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xdr:col>
      <xdr:colOff>5601</xdr:colOff>
      <xdr:row>5</xdr:row>
      <xdr:rowOff>141194</xdr:rowOff>
    </xdr:from>
    <xdr:to>
      <xdr:col>31</xdr:col>
      <xdr:colOff>302558</xdr:colOff>
      <xdr:row>18</xdr:row>
      <xdr:rowOff>44824</xdr:rowOff>
    </xdr:to>
    <xdr:graphicFrame macro="">
      <xdr:nvGraphicFramePr>
        <xdr:cNvPr id="7" name="Chart 6">
          <a:extLst>
            <a:ext uri="{FF2B5EF4-FFF2-40B4-BE49-F238E27FC236}">
              <a16:creationId xmlns:a16="http://schemas.microsoft.com/office/drawing/2014/main" id="{AE0D8504-253D-0D17-745F-8000FBB5A9E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31</xdr:col>
      <xdr:colOff>369794</xdr:colOff>
      <xdr:row>5</xdr:row>
      <xdr:rowOff>134471</xdr:rowOff>
    </xdr:from>
    <xdr:to>
      <xdr:col>35</xdr:col>
      <xdr:colOff>134470</xdr:colOff>
      <xdr:row>18</xdr:row>
      <xdr:rowOff>56029</xdr:rowOff>
    </xdr:to>
    <xdr:graphicFrame macro="">
      <xdr:nvGraphicFramePr>
        <xdr:cNvPr id="8" name="Chart 7">
          <a:extLst>
            <a:ext uri="{FF2B5EF4-FFF2-40B4-BE49-F238E27FC236}">
              <a16:creationId xmlns:a16="http://schemas.microsoft.com/office/drawing/2014/main" id="{D15CA4C4-7F45-F715-0795-38B2A3DD044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10</xdr:col>
      <xdr:colOff>261937</xdr:colOff>
      <xdr:row>30</xdr:row>
      <xdr:rowOff>90487</xdr:rowOff>
    </xdr:from>
    <xdr:to>
      <xdr:col>17</xdr:col>
      <xdr:colOff>538162</xdr:colOff>
      <xdr:row>43</xdr:row>
      <xdr:rowOff>23812</xdr:rowOff>
    </xdr:to>
    <xdr:graphicFrame macro="">
      <xdr:nvGraphicFramePr>
        <xdr:cNvPr id="3" name="Chart 2">
          <a:extLst>
            <a:ext uri="{FF2B5EF4-FFF2-40B4-BE49-F238E27FC236}">
              <a16:creationId xmlns:a16="http://schemas.microsoft.com/office/drawing/2014/main" id="{61649305-517B-9255-CA4A-A543166C7E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233362</xdr:colOff>
      <xdr:row>54</xdr:row>
      <xdr:rowOff>157162</xdr:rowOff>
    </xdr:from>
    <xdr:to>
      <xdr:col>17</xdr:col>
      <xdr:colOff>509587</xdr:colOff>
      <xdr:row>68</xdr:row>
      <xdr:rowOff>4762</xdr:rowOff>
    </xdr:to>
    <xdr:graphicFrame macro="">
      <xdr:nvGraphicFramePr>
        <xdr:cNvPr id="4" name="Chart 3">
          <a:extLst>
            <a:ext uri="{FF2B5EF4-FFF2-40B4-BE49-F238E27FC236}">
              <a16:creationId xmlns:a16="http://schemas.microsoft.com/office/drawing/2014/main" id="{23D5C2A1-75DA-97B0-2B21-E375B810EAC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10</xdr:col>
      <xdr:colOff>166687</xdr:colOff>
      <xdr:row>2</xdr:row>
      <xdr:rowOff>285743</xdr:rowOff>
    </xdr:from>
    <xdr:to>
      <xdr:col>16</xdr:col>
      <xdr:colOff>634687</xdr:colOff>
      <xdr:row>15</xdr:row>
      <xdr:rowOff>164393</xdr:rowOff>
    </xdr:to>
    <xdr:graphicFrame macro="">
      <xdr:nvGraphicFramePr>
        <xdr:cNvPr id="2" name="Gráfico 1">
          <a:extLst>
            <a:ext uri="{FF2B5EF4-FFF2-40B4-BE49-F238E27FC236}">
              <a16:creationId xmlns:a16="http://schemas.microsoft.com/office/drawing/2014/main" id="{78098029-3DCB-4187-B78C-814942BA66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10</xdr:col>
      <xdr:colOff>166693</xdr:colOff>
      <xdr:row>17</xdr:row>
      <xdr:rowOff>69048</xdr:rowOff>
    </xdr:from>
    <xdr:to>
      <xdr:col>16</xdr:col>
      <xdr:colOff>634693</xdr:colOff>
      <xdr:row>31</xdr:row>
      <xdr:rowOff>104860</xdr:rowOff>
    </xdr:to>
    <xdr:graphicFrame macro="">
      <xdr:nvGraphicFramePr>
        <xdr:cNvPr id="3" name="Gráfico 2">
          <a:extLst>
            <a:ext uri="{FF2B5EF4-FFF2-40B4-BE49-F238E27FC236}">
              <a16:creationId xmlns:a16="http://schemas.microsoft.com/office/drawing/2014/main" id="{F0E18D27-F4CA-4594-BC17-3E684B16DD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10</xdr:col>
      <xdr:colOff>166693</xdr:colOff>
      <xdr:row>33</xdr:row>
      <xdr:rowOff>7124</xdr:rowOff>
    </xdr:from>
    <xdr:to>
      <xdr:col>16</xdr:col>
      <xdr:colOff>634693</xdr:colOff>
      <xdr:row>47</xdr:row>
      <xdr:rowOff>19124</xdr:rowOff>
    </xdr:to>
    <xdr:graphicFrame macro="">
      <xdr:nvGraphicFramePr>
        <xdr:cNvPr id="4" name="Gráfico 3">
          <a:extLst>
            <a:ext uri="{FF2B5EF4-FFF2-40B4-BE49-F238E27FC236}">
              <a16:creationId xmlns:a16="http://schemas.microsoft.com/office/drawing/2014/main" id="{D9865888-A185-48CD-BF92-9F51D0BB53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10</xdr:col>
      <xdr:colOff>166692</xdr:colOff>
      <xdr:row>64</xdr:row>
      <xdr:rowOff>69041</xdr:rowOff>
    </xdr:from>
    <xdr:to>
      <xdr:col>16</xdr:col>
      <xdr:colOff>634692</xdr:colOff>
      <xdr:row>78</xdr:row>
      <xdr:rowOff>7222</xdr:rowOff>
    </xdr:to>
    <xdr:graphicFrame macro="">
      <xdr:nvGraphicFramePr>
        <xdr:cNvPr id="6" name="Gráfico 5">
          <a:extLst>
            <a:ext uri="{FF2B5EF4-FFF2-40B4-BE49-F238E27FC236}">
              <a16:creationId xmlns:a16="http://schemas.microsoft.com/office/drawing/2014/main" id="{3E114629-62C6-4939-87D0-9CC4A042C0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17</xdr:col>
      <xdr:colOff>226217</xdr:colOff>
      <xdr:row>17</xdr:row>
      <xdr:rowOff>69055</xdr:rowOff>
    </xdr:from>
    <xdr:to>
      <xdr:col>23</xdr:col>
      <xdr:colOff>694217</xdr:colOff>
      <xdr:row>31</xdr:row>
      <xdr:rowOff>104867</xdr:rowOff>
    </xdr:to>
    <xdr:graphicFrame macro="">
      <xdr:nvGraphicFramePr>
        <xdr:cNvPr id="7" name="Gráfico 7">
          <a:extLst>
            <a:ext uri="{FF2B5EF4-FFF2-40B4-BE49-F238E27FC236}">
              <a16:creationId xmlns:a16="http://schemas.microsoft.com/office/drawing/2014/main" id="{D7C0A3BB-52DB-42C5-A866-EF9B59ACBC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17</xdr:col>
      <xdr:colOff>226219</xdr:colOff>
      <xdr:row>3</xdr:row>
      <xdr:rowOff>0</xdr:rowOff>
    </xdr:from>
    <xdr:to>
      <xdr:col>23</xdr:col>
      <xdr:colOff>694219</xdr:colOff>
      <xdr:row>15</xdr:row>
      <xdr:rowOff>164400</xdr:rowOff>
    </xdr:to>
    <xdr:graphicFrame macro="">
      <xdr:nvGraphicFramePr>
        <xdr:cNvPr id="8" name="Gráfico 12">
          <a:extLst>
            <a:ext uri="{FF2B5EF4-FFF2-40B4-BE49-F238E27FC236}">
              <a16:creationId xmlns:a16="http://schemas.microsoft.com/office/drawing/2014/main" id="{46CCD108-B19F-4DF0-B173-5FC9ED2DD3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17</xdr:col>
      <xdr:colOff>226218</xdr:colOff>
      <xdr:row>33</xdr:row>
      <xdr:rowOff>7144</xdr:rowOff>
    </xdr:from>
    <xdr:to>
      <xdr:col>23</xdr:col>
      <xdr:colOff>694218</xdr:colOff>
      <xdr:row>47</xdr:row>
      <xdr:rowOff>19144</xdr:rowOff>
    </xdr:to>
    <xdr:graphicFrame macro="">
      <xdr:nvGraphicFramePr>
        <xdr:cNvPr id="9" name="Gráfico 13">
          <a:extLst>
            <a:ext uri="{FF2B5EF4-FFF2-40B4-BE49-F238E27FC236}">
              <a16:creationId xmlns:a16="http://schemas.microsoft.com/office/drawing/2014/main" id="{30DCDCF5-99BB-4FF5-A1FE-B348812D88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17</xdr:col>
      <xdr:colOff>226219</xdr:colOff>
      <xdr:row>48</xdr:row>
      <xdr:rowOff>152400</xdr:rowOff>
    </xdr:from>
    <xdr:to>
      <xdr:col>23</xdr:col>
      <xdr:colOff>694219</xdr:colOff>
      <xdr:row>62</xdr:row>
      <xdr:rowOff>178688</xdr:rowOff>
    </xdr:to>
    <xdr:graphicFrame macro="">
      <xdr:nvGraphicFramePr>
        <xdr:cNvPr id="10" name="Gráfico 14">
          <a:extLst>
            <a:ext uri="{FF2B5EF4-FFF2-40B4-BE49-F238E27FC236}">
              <a16:creationId xmlns:a16="http://schemas.microsoft.com/office/drawing/2014/main" id="{4DEF0116-C382-41C4-B972-88D63B2C72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17</xdr:col>
      <xdr:colOff>226219</xdr:colOff>
      <xdr:row>64</xdr:row>
      <xdr:rowOff>69057</xdr:rowOff>
    </xdr:from>
    <xdr:to>
      <xdr:col>23</xdr:col>
      <xdr:colOff>694219</xdr:colOff>
      <xdr:row>78</xdr:row>
      <xdr:rowOff>7238</xdr:rowOff>
    </xdr:to>
    <xdr:graphicFrame macro="">
      <xdr:nvGraphicFramePr>
        <xdr:cNvPr id="11" name="Gráfico 15">
          <a:extLst>
            <a:ext uri="{FF2B5EF4-FFF2-40B4-BE49-F238E27FC236}">
              <a16:creationId xmlns:a16="http://schemas.microsoft.com/office/drawing/2014/main" id="{F14E570B-3D64-4076-8A14-1A75D888F3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10</xdr:col>
      <xdr:colOff>130969</xdr:colOff>
      <xdr:row>49</xdr:row>
      <xdr:rowOff>119062</xdr:rowOff>
    </xdr:from>
    <xdr:to>
      <xdr:col>16</xdr:col>
      <xdr:colOff>642937</xdr:colOff>
      <xdr:row>63</xdr:row>
      <xdr:rowOff>11905</xdr:rowOff>
    </xdr:to>
    <xdr:graphicFrame macro="">
      <xdr:nvGraphicFramePr>
        <xdr:cNvPr id="12" name="Chart 11">
          <a:extLst>
            <a:ext uri="{FF2B5EF4-FFF2-40B4-BE49-F238E27FC236}">
              <a16:creationId xmlns:a16="http://schemas.microsoft.com/office/drawing/2014/main" id="{146371FD-6E6A-E35E-8BEE-07FE0716E28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0.77958</cdr:x>
      <cdr:y>0</cdr:y>
    </cdr:from>
    <cdr:to>
      <cdr:x>1</cdr:x>
      <cdr:y>0.13263</cdr:y>
    </cdr:to>
    <cdr:sp macro="" textlink="">
      <cdr:nvSpPr>
        <cdr:cNvPr id="2" name="CuadroTexto 6">
          <a:extLst xmlns:a="http://schemas.openxmlformats.org/drawingml/2006/main">
            <a:ext uri="{FF2B5EF4-FFF2-40B4-BE49-F238E27FC236}">
              <a16:creationId xmlns:a16="http://schemas.microsoft.com/office/drawing/2014/main" id="{A1B4F343-65C7-FB4A-2F72-8A2A9D0D7914}"/>
            </a:ext>
          </a:extLst>
        </cdr:cNvPr>
        <cdr:cNvSpPr txBox="1"/>
      </cdr:nvSpPr>
      <cdr:spPr>
        <a:xfrm xmlns:a="http://schemas.openxmlformats.org/drawingml/2006/main">
          <a:off x="3929083" y="0"/>
          <a:ext cx="1110917" cy="38197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s-ES" sz="1000" b="0" i="0" spc="50" baseline="0">
              <a:solidFill>
                <a:sysClr val="windowText" lastClr="000000"/>
              </a:solidFill>
              <a:effectLst/>
              <a:latin typeface="Aptos" panose="020B0004020202020204" pitchFamily="34" charset="0"/>
              <a:ea typeface="+mn-ea"/>
              <a:cs typeface="+mn-cs"/>
            </a:rPr>
            <a:t>Millions '000</a:t>
          </a:r>
          <a:endParaRPr lang="es-ES" sz="1000" spc="50" baseline="0">
            <a:solidFill>
              <a:sysClr val="windowText" lastClr="000000"/>
            </a:solidFill>
            <a:latin typeface="Aptos" panose="020B0004020202020204" pitchFamily="34" charset="0"/>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2CD2A-0C49-4B86-A7C2-E8CD4C6C2C74}">
  <sheetPr>
    <tabColor theme="9" tint="0.79998168889431442"/>
  </sheetPr>
  <dimension ref="A1:AI610"/>
  <sheetViews>
    <sheetView tabSelected="1" zoomScale="85" zoomScaleNormal="85" workbookViewId="0">
      <selection activeCell="A2" sqref="A2"/>
    </sheetView>
  </sheetViews>
  <sheetFormatPr defaultRowHeight="15" outlineLevelRow="1" x14ac:dyDescent="0.25"/>
  <cols>
    <col min="1" max="1" width="25.28515625" customWidth="1"/>
    <col min="2" max="2" width="29.7109375" customWidth="1"/>
    <col min="3" max="3" width="32.28515625" customWidth="1"/>
    <col min="4" max="4" width="17.28515625" customWidth="1"/>
    <col min="5" max="5" width="13.85546875" customWidth="1"/>
    <col min="6" max="6" width="16.7109375" customWidth="1"/>
    <col min="7" max="7" width="19.85546875" customWidth="1"/>
    <col min="8" max="8" width="15.7109375" customWidth="1"/>
    <col min="9" max="9" width="11.85546875" customWidth="1"/>
    <col min="10" max="10" width="17.28515625" customWidth="1"/>
    <col min="11" max="11" width="17.5703125" customWidth="1"/>
    <col min="12" max="12" width="22.28515625" customWidth="1"/>
    <col min="13" max="13" width="13.7109375" customWidth="1"/>
    <col min="14" max="14" width="14.140625" customWidth="1"/>
    <col min="15" max="15" width="13.42578125" customWidth="1"/>
    <col min="16" max="16" width="14.28515625" customWidth="1"/>
    <col min="17" max="17" width="10" customWidth="1"/>
    <col min="18" max="18" width="3.7109375" customWidth="1"/>
    <col min="19" max="19" width="23.28515625" customWidth="1"/>
    <col min="20" max="25" width="14.42578125" customWidth="1"/>
    <col min="26" max="26" width="3.7109375" customWidth="1"/>
    <col min="27" max="27" width="9.140625" customWidth="1"/>
    <col min="28" max="33" width="13" customWidth="1"/>
    <col min="34" max="34" width="3.85546875" customWidth="1"/>
    <col min="35" max="35" width="9.140625" customWidth="1"/>
  </cols>
  <sheetData>
    <row r="1" spans="1:7" ht="24" x14ac:dyDescent="0.25">
      <c r="A1" s="473" t="s">
        <v>0</v>
      </c>
      <c r="B1" s="474"/>
    </row>
    <row r="2" spans="1:7" ht="32.25" customHeight="1" x14ac:dyDescent="0.25">
      <c r="C2" s="487" t="s">
        <v>1</v>
      </c>
      <c r="D2" s="488"/>
      <c r="E2" s="488"/>
      <c r="F2" s="488"/>
      <c r="G2" s="489"/>
    </row>
    <row r="3" spans="1:7" x14ac:dyDescent="0.25">
      <c r="C3" s="490" t="s">
        <v>2</v>
      </c>
      <c r="D3" s="491"/>
      <c r="E3" s="491"/>
      <c r="F3" s="491"/>
      <c r="G3" s="492"/>
    </row>
    <row r="4" spans="1:7" x14ac:dyDescent="0.25">
      <c r="C4" s="490" t="s">
        <v>3</v>
      </c>
      <c r="D4" s="491"/>
      <c r="E4" s="491"/>
      <c r="F4" s="491"/>
      <c r="G4" s="492"/>
    </row>
    <row r="5" spans="1:7" ht="59.25" customHeight="1" x14ac:dyDescent="0.25">
      <c r="C5" s="493" t="s">
        <v>4</v>
      </c>
      <c r="D5" s="494"/>
      <c r="E5" s="494"/>
      <c r="F5" s="494"/>
      <c r="G5" s="495"/>
    </row>
    <row r="6" spans="1:7" x14ac:dyDescent="0.25">
      <c r="C6" s="117" t="s">
        <v>5</v>
      </c>
      <c r="D6" s="117" t="s">
        <v>6</v>
      </c>
      <c r="E6" s="496" t="s">
        <v>7</v>
      </c>
      <c r="F6" s="497"/>
      <c r="G6" s="498"/>
    </row>
    <row r="7" spans="1:7" ht="29.25" customHeight="1" x14ac:dyDescent="0.25">
      <c r="C7" s="118" t="s">
        <v>8</v>
      </c>
      <c r="D7" s="119"/>
      <c r="E7" s="478" t="s">
        <v>9</v>
      </c>
      <c r="F7" s="478"/>
      <c r="G7" s="478"/>
    </row>
    <row r="8" spans="1:7" x14ac:dyDescent="0.25">
      <c r="C8" s="118"/>
      <c r="D8" s="120"/>
      <c r="E8" s="481"/>
      <c r="F8" s="482"/>
      <c r="G8" s="483"/>
    </row>
    <row r="9" spans="1:7" ht="27" customHeight="1" x14ac:dyDescent="0.25">
      <c r="C9" s="118" t="s">
        <v>10</v>
      </c>
      <c r="D9" s="121"/>
      <c r="E9" s="478" t="s">
        <v>11</v>
      </c>
      <c r="F9" s="478"/>
      <c r="G9" s="478"/>
    </row>
    <row r="10" spans="1:7" x14ac:dyDescent="0.25">
      <c r="C10" s="118"/>
      <c r="D10" s="120"/>
      <c r="E10" s="481"/>
      <c r="F10" s="482"/>
      <c r="G10" s="483"/>
    </row>
    <row r="11" spans="1:7" ht="48" customHeight="1" x14ac:dyDescent="0.25">
      <c r="C11" s="118" t="s">
        <v>12</v>
      </c>
      <c r="D11" s="247"/>
      <c r="E11" s="479" t="s">
        <v>13</v>
      </c>
      <c r="F11" s="479"/>
      <c r="G11" s="479"/>
    </row>
    <row r="12" spans="1:7" ht="41.25" customHeight="1" x14ac:dyDescent="0.25">
      <c r="C12" s="120"/>
      <c r="D12" s="120"/>
      <c r="E12" s="480"/>
      <c r="F12" s="480"/>
      <c r="G12" s="480"/>
    </row>
    <row r="13" spans="1:7" ht="165.75" customHeight="1" x14ac:dyDescent="0.25">
      <c r="C13" s="484" t="s">
        <v>14</v>
      </c>
      <c r="D13" s="485"/>
      <c r="E13" s="485"/>
      <c r="F13" s="485"/>
      <c r="G13" s="486"/>
    </row>
    <row r="16" spans="1:7" ht="30" customHeight="1" x14ac:dyDescent="0.25">
      <c r="A16" s="475" t="s">
        <v>15</v>
      </c>
      <c r="B16" s="475"/>
      <c r="C16" s="365" t="s">
        <v>16</v>
      </c>
      <c r="D16" s="366" t="s">
        <v>17</v>
      </c>
    </row>
    <row r="17" spans="1:26" ht="15.75" x14ac:dyDescent="0.25">
      <c r="C17" s="365" t="s">
        <v>18</v>
      </c>
      <c r="D17" s="367">
        <v>46023</v>
      </c>
    </row>
    <row r="18" spans="1:26" ht="15.75" x14ac:dyDescent="0.25">
      <c r="C18" s="365" t="s">
        <v>19</v>
      </c>
      <c r="D18" s="368" t="s">
        <v>20</v>
      </c>
    </row>
    <row r="19" spans="1:26" ht="19.5" x14ac:dyDescent="0.3">
      <c r="A19" s="358" t="s">
        <v>21</v>
      </c>
      <c r="B19" s="359" t="s">
        <v>22</v>
      </c>
    </row>
    <row r="20" spans="1:26" ht="15.75" hidden="1" outlineLevel="1" thickBot="1" x14ac:dyDescent="0.3"/>
    <row r="21" spans="1:26" ht="25.5" hidden="1" outlineLevel="1" thickTop="1" thickBot="1" x14ac:dyDescent="0.45">
      <c r="C21" s="3" t="s">
        <v>23</v>
      </c>
      <c r="D21" s="4"/>
      <c r="E21" s="4"/>
      <c r="F21" s="4"/>
      <c r="G21" s="4"/>
      <c r="H21" s="4"/>
      <c r="I21" s="4"/>
      <c r="J21" s="4"/>
      <c r="K21" s="4"/>
      <c r="L21" s="4"/>
      <c r="M21" s="4"/>
      <c r="N21" s="4"/>
      <c r="O21" s="4"/>
      <c r="P21" s="4"/>
      <c r="R21" s="5"/>
      <c r="S21" s="6" t="str">
        <f>CompanyName &amp;" Revenue Forecast"</f>
        <v>Sustainsphere Revenue Forecast</v>
      </c>
      <c r="T21" s="7"/>
      <c r="U21" s="7"/>
      <c r="V21" s="7"/>
      <c r="W21" s="7"/>
      <c r="X21" s="7"/>
      <c r="Y21" s="7"/>
      <c r="Z21" s="8"/>
    </row>
    <row r="22" spans="1:26" ht="15.75" hidden="1" outlineLevel="1" thickTop="1" x14ac:dyDescent="0.25">
      <c r="C22" s="9" t="str">
        <f>"Revenues ("&amp;SubHeader&amp;")"</f>
        <v>Revenues (EUR)</v>
      </c>
      <c r="D22" s="10"/>
      <c r="E22" s="11"/>
      <c r="F22" s="11"/>
      <c r="R22" s="12"/>
      <c r="Z22" s="13"/>
    </row>
    <row r="23" spans="1:26" ht="18" hidden="1" outlineLevel="1" thickBot="1" x14ac:dyDescent="0.35">
      <c r="D23" s="14"/>
      <c r="E23" s="15"/>
      <c r="F23" s="15"/>
      <c r="G23" s="15"/>
      <c r="H23" s="15"/>
      <c r="I23" s="15"/>
      <c r="J23" s="16"/>
      <c r="K23" s="16"/>
      <c r="L23" s="16"/>
      <c r="M23" s="16"/>
      <c r="N23" s="16"/>
      <c r="O23" s="16"/>
      <c r="P23" s="16"/>
      <c r="R23" s="12"/>
      <c r="S23" s="17" t="s">
        <v>24</v>
      </c>
      <c r="Z23" s="13"/>
    </row>
    <row r="24" spans="1:26" ht="21" hidden="1" outlineLevel="1" thickTop="1" thickBot="1" x14ac:dyDescent="0.35">
      <c r="C24" s="1" t="s">
        <v>25</v>
      </c>
      <c r="D24" s="14"/>
      <c r="E24" s="15"/>
      <c r="F24" s="15"/>
      <c r="G24" s="15"/>
      <c r="H24" s="15"/>
      <c r="I24" s="15"/>
      <c r="J24" s="16"/>
      <c r="K24" s="16"/>
      <c r="L24" s="16"/>
      <c r="M24" s="16"/>
      <c r="N24" s="16"/>
      <c r="O24" s="16"/>
      <c r="P24" s="16"/>
      <c r="R24" s="12"/>
      <c r="Z24" s="13"/>
    </row>
    <row r="25" spans="1:26" ht="16.5" hidden="1" outlineLevel="1" thickTop="1" x14ac:dyDescent="0.25">
      <c r="C25" s="18"/>
      <c r="D25" s="63" t="s">
        <v>26</v>
      </c>
      <c r="E25" s="476" t="s">
        <v>27</v>
      </c>
      <c r="F25" s="476"/>
      <c r="G25" s="477"/>
      <c r="H25" s="66" t="s">
        <v>28</v>
      </c>
      <c r="I25" s="476" t="s">
        <v>27</v>
      </c>
      <c r="J25" s="476"/>
      <c r="K25" s="477"/>
      <c r="L25" s="66" t="s">
        <v>29</v>
      </c>
      <c r="M25" s="476" t="s">
        <v>27</v>
      </c>
      <c r="N25" s="476"/>
      <c r="O25" s="477"/>
      <c r="P25" s="18"/>
      <c r="Q25" s="18"/>
      <c r="R25" s="19"/>
      <c r="S25" s="18"/>
      <c r="T25" s="18"/>
      <c r="U25" s="18"/>
      <c r="V25" s="18"/>
      <c r="W25" s="18"/>
      <c r="X25" s="18"/>
      <c r="Y25" s="18"/>
      <c r="Z25" s="20"/>
    </row>
    <row r="26" spans="1:26" hidden="1" outlineLevel="1" x14ac:dyDescent="0.25">
      <c r="C26" s="21" t="s">
        <v>30</v>
      </c>
      <c r="D26" s="436">
        <v>2025</v>
      </c>
      <c r="E26" s="471"/>
      <c r="F26" s="471"/>
      <c r="G26" s="472"/>
      <c r="H26" s="441">
        <v>2025</v>
      </c>
      <c r="I26" s="471"/>
      <c r="J26" s="471"/>
      <c r="K26" s="472"/>
      <c r="L26" s="67"/>
      <c r="M26" s="471"/>
      <c r="N26" s="471"/>
      <c r="O26" s="472"/>
      <c r="R26" s="12"/>
      <c r="Z26" s="13"/>
    </row>
    <row r="27" spans="1:26" hidden="1" outlineLevel="1" x14ac:dyDescent="0.25">
      <c r="C27" s="24" t="s">
        <v>31</v>
      </c>
      <c r="D27" s="437">
        <v>120000000</v>
      </c>
      <c r="E27" s="471" t="s">
        <v>32</v>
      </c>
      <c r="F27" s="471"/>
      <c r="G27" s="472"/>
      <c r="H27" s="442">
        <v>380000000</v>
      </c>
      <c r="I27" s="471" t="s">
        <v>33</v>
      </c>
      <c r="J27" s="471"/>
      <c r="K27" s="472"/>
      <c r="L27" s="68"/>
      <c r="M27" s="471"/>
      <c r="N27" s="471"/>
      <c r="O27" s="472"/>
      <c r="R27" s="12"/>
      <c r="Z27" s="13"/>
    </row>
    <row r="28" spans="1:26" hidden="1" outlineLevel="1" x14ac:dyDescent="0.25">
      <c r="C28" s="24" t="s">
        <v>34</v>
      </c>
      <c r="D28" s="438">
        <v>3.5000000000000003E-2</v>
      </c>
      <c r="E28" s="471" t="s">
        <v>35</v>
      </c>
      <c r="F28" s="471"/>
      <c r="G28" s="472"/>
      <c r="H28" s="443">
        <v>3.5000000000000003E-2</v>
      </c>
      <c r="I28" s="471"/>
      <c r="J28" s="471"/>
      <c r="K28" s="472"/>
      <c r="L28" s="68"/>
      <c r="M28" s="22"/>
      <c r="N28" s="22"/>
      <c r="O28" s="23"/>
      <c r="R28" s="12"/>
      <c r="Z28" s="13"/>
    </row>
    <row r="29" spans="1:26" hidden="1" outlineLevel="1" x14ac:dyDescent="0.25">
      <c r="C29" s="21" t="s">
        <v>36</v>
      </c>
      <c r="D29" s="439">
        <f>D27*D28</f>
        <v>4200000</v>
      </c>
      <c r="E29" s="471"/>
      <c r="F29" s="471"/>
      <c r="G29" s="472"/>
      <c r="H29" s="439">
        <f>H27*H28</f>
        <v>13300000.000000002</v>
      </c>
      <c r="I29" s="471"/>
      <c r="J29" s="471"/>
      <c r="K29" s="472"/>
      <c r="L29" s="68"/>
      <c r="M29" s="471"/>
      <c r="N29" s="471"/>
      <c r="O29" s="472"/>
      <c r="R29" s="12"/>
      <c r="Z29" s="13"/>
    </row>
    <row r="30" spans="1:26" hidden="1" outlineLevel="1" x14ac:dyDescent="0.25">
      <c r="C30" s="25" t="s">
        <v>37</v>
      </c>
      <c r="D30" s="440">
        <v>0.12</v>
      </c>
      <c r="E30" s="510" t="s">
        <v>38</v>
      </c>
      <c r="F30" s="510"/>
      <c r="G30" s="511"/>
      <c r="H30" s="444">
        <v>0.12</v>
      </c>
      <c r="I30" s="510" t="s">
        <v>38</v>
      </c>
      <c r="J30" s="510"/>
      <c r="K30" s="511"/>
      <c r="L30" s="69"/>
      <c r="M30" s="510"/>
      <c r="N30" s="510"/>
      <c r="O30" s="511"/>
      <c r="R30" s="12"/>
      <c r="Z30" s="13"/>
    </row>
    <row r="31" spans="1:26" hidden="1" outlineLevel="1" x14ac:dyDescent="0.25">
      <c r="D31" s="14"/>
      <c r="E31" s="15"/>
      <c r="F31" s="15"/>
      <c r="G31" s="15"/>
      <c r="H31" s="15"/>
      <c r="I31" s="15"/>
      <c r="J31" s="16"/>
      <c r="K31" s="16"/>
      <c r="L31" s="16"/>
      <c r="M31" s="16"/>
      <c r="N31" s="16"/>
      <c r="O31" s="16"/>
      <c r="P31" s="16"/>
      <c r="R31" s="12"/>
      <c r="Z31" s="13"/>
    </row>
    <row r="32" spans="1:26" hidden="1" outlineLevel="1" x14ac:dyDescent="0.25">
      <c r="D32" s="14"/>
      <c r="E32" s="15"/>
      <c r="F32" s="15"/>
      <c r="G32" s="15"/>
      <c r="H32" s="15"/>
      <c r="I32" s="15"/>
      <c r="J32" s="16"/>
      <c r="K32" s="16"/>
      <c r="L32" s="16"/>
      <c r="M32" s="16"/>
      <c r="N32" s="16"/>
      <c r="O32" s="16"/>
      <c r="P32" s="16"/>
      <c r="R32" s="12"/>
      <c r="Z32" s="13"/>
    </row>
    <row r="33" spans="3:26" ht="19.5" hidden="1" outlineLevel="1" x14ac:dyDescent="0.3">
      <c r="C33" s="54" t="s">
        <v>39</v>
      </c>
      <c r="R33" s="12"/>
      <c r="Z33" s="13"/>
    </row>
    <row r="34" spans="3:26" ht="19.5" hidden="1" outlineLevel="1" x14ac:dyDescent="0.3">
      <c r="C34" s="55"/>
      <c r="D34" s="500" t="s">
        <v>40</v>
      </c>
      <c r="E34" s="500"/>
      <c r="F34" s="500"/>
      <c r="G34" s="500"/>
      <c r="H34" s="500"/>
      <c r="I34" s="500"/>
      <c r="J34" s="500"/>
      <c r="K34" s="500"/>
      <c r="L34" s="61"/>
      <c r="M34" s="499" t="s">
        <v>41</v>
      </c>
      <c r="N34" s="499"/>
      <c r="O34" s="499"/>
      <c r="P34" s="499"/>
      <c r="R34" s="12"/>
      <c r="Z34" s="13"/>
    </row>
    <row r="35" spans="3:26" hidden="1" outlineLevel="1" x14ac:dyDescent="0.25">
      <c r="C35" s="56"/>
      <c r="D35" s="500" t="s">
        <v>42</v>
      </c>
      <c r="E35" s="500"/>
      <c r="F35" s="500"/>
      <c r="G35" s="500"/>
      <c r="H35" s="500" t="s">
        <v>43</v>
      </c>
      <c r="I35" s="500"/>
      <c r="J35" s="500"/>
      <c r="K35" s="500"/>
      <c r="L35" s="61"/>
      <c r="M35" s="62" t="s">
        <v>44</v>
      </c>
      <c r="N35" s="62" t="s">
        <v>45</v>
      </c>
      <c r="O35" s="62" t="s">
        <v>46</v>
      </c>
      <c r="P35" s="62" t="s">
        <v>47</v>
      </c>
      <c r="R35" s="12"/>
      <c r="Z35" s="13"/>
    </row>
    <row r="36" spans="3:26" hidden="1" outlineLevel="1" x14ac:dyDescent="0.25">
      <c r="C36" s="57"/>
      <c r="D36" s="58">
        <f>StartDate</f>
        <v>46023</v>
      </c>
      <c r="E36" s="58">
        <f>EDATE(D36,3)</f>
        <v>46113</v>
      </c>
      <c r="F36" s="58">
        <f t="shared" ref="F36:K36" si="0">EDATE(E36,3)</f>
        <v>46204</v>
      </c>
      <c r="G36" s="58">
        <f t="shared" si="0"/>
        <v>46296</v>
      </c>
      <c r="H36" s="58">
        <f t="shared" si="0"/>
        <v>46388</v>
      </c>
      <c r="I36" s="58">
        <f t="shared" si="0"/>
        <v>46478</v>
      </c>
      <c r="J36" s="58">
        <f t="shared" si="0"/>
        <v>46569</v>
      </c>
      <c r="K36" s="58">
        <f t="shared" si="0"/>
        <v>46661</v>
      </c>
      <c r="L36" s="61"/>
      <c r="M36" s="58">
        <f>EDATE(K36,3)</f>
        <v>46753</v>
      </c>
      <c r="N36" s="58">
        <f t="shared" ref="N36:P36" si="1">EDATE(M36,12)</f>
        <v>47119</v>
      </c>
      <c r="O36" s="58">
        <f t="shared" si="1"/>
        <v>47484</v>
      </c>
      <c r="P36" s="58">
        <f t="shared" si="1"/>
        <v>47849</v>
      </c>
      <c r="R36" s="12"/>
      <c r="Z36" s="13"/>
    </row>
    <row r="37" spans="3:26" hidden="1" outlineLevel="1" x14ac:dyDescent="0.25">
      <c r="C37" s="59" t="str">
        <f>$D$25</f>
        <v>Europe</v>
      </c>
      <c r="D37" s="60">
        <f>$D$29*((1+$D$30)^(YEAR(D61)-$D$26))/4</f>
        <v>1176000</v>
      </c>
      <c r="E37" s="60">
        <f t="shared" ref="E37:K37" si="2">$D$29*((1+$D$30)^(YEAR(E61)-$D$26))/4</f>
        <v>1176000</v>
      </c>
      <c r="F37" s="60">
        <f t="shared" si="2"/>
        <v>1176000</v>
      </c>
      <c r="G37" s="60">
        <f t="shared" si="2"/>
        <v>1176000</v>
      </c>
      <c r="H37" s="60">
        <f t="shared" si="2"/>
        <v>1317120.0000000002</v>
      </c>
      <c r="I37" s="60">
        <f t="shared" si="2"/>
        <v>1317120.0000000002</v>
      </c>
      <c r="J37" s="60">
        <f t="shared" si="2"/>
        <v>1317120.0000000002</v>
      </c>
      <c r="K37" s="60">
        <f t="shared" si="2"/>
        <v>1317120.0000000002</v>
      </c>
      <c r="L37" s="61"/>
      <c r="M37" s="60">
        <f>$D$29*((1+$D$30)^(YEAR(M61)-$D$26))</f>
        <v>5900697.6000000015</v>
      </c>
      <c r="N37" s="60">
        <f t="shared" ref="N37:P37" si="3">$D$29*((1+$D$30)^(YEAR(N61)-$D$26))</f>
        <v>6608781.3120000018</v>
      </c>
      <c r="O37" s="60">
        <f t="shared" si="3"/>
        <v>7401835.0694400026</v>
      </c>
      <c r="P37" s="60">
        <f t="shared" si="3"/>
        <v>8290055.2777728038</v>
      </c>
      <c r="R37" s="12"/>
      <c r="Z37" s="13"/>
    </row>
    <row r="38" spans="3:26" ht="15.75" hidden="1" outlineLevel="1" thickBot="1" x14ac:dyDescent="0.3">
      <c r="C38" s="59" t="str">
        <f>$H$25</f>
        <v>USA &amp; Canada</v>
      </c>
      <c r="D38" s="60">
        <f>$H$29*((1+$H$30)^(YEAR(D61)-$H$26))/4</f>
        <v>3724000.0000000009</v>
      </c>
      <c r="E38" s="60">
        <f t="shared" ref="E38:K38" si="4">$H$29*((1+$H$30)^(YEAR(E61)-$H$26))/4</f>
        <v>3724000.0000000009</v>
      </c>
      <c r="F38" s="60">
        <f t="shared" si="4"/>
        <v>3724000.0000000009</v>
      </c>
      <c r="G38" s="60">
        <f t="shared" si="4"/>
        <v>3724000.0000000009</v>
      </c>
      <c r="H38" s="60">
        <f t="shared" si="4"/>
        <v>4170880.0000000014</v>
      </c>
      <c r="I38" s="60">
        <f t="shared" si="4"/>
        <v>4170880.0000000014</v>
      </c>
      <c r="J38" s="60">
        <f t="shared" si="4"/>
        <v>4170880.0000000014</v>
      </c>
      <c r="K38" s="60">
        <f t="shared" si="4"/>
        <v>4170880.0000000014</v>
      </c>
      <c r="L38" s="61"/>
      <c r="M38" s="60">
        <f>$H$29*((1+$H$30)^(YEAR(M61)-$H$26))</f>
        <v>18685542.40000001</v>
      </c>
      <c r="N38" s="60">
        <f t="shared" ref="N38:P38" si="5">$H$29*((1+$H$30)^(YEAR(N61)-$H$26))</f>
        <v>20927807.488000009</v>
      </c>
      <c r="O38" s="60">
        <f t="shared" si="5"/>
        <v>23439144.386560012</v>
      </c>
      <c r="P38" s="60">
        <f t="shared" si="5"/>
        <v>26251841.712947216</v>
      </c>
      <c r="R38" s="35"/>
      <c r="S38" s="36"/>
      <c r="T38" s="36"/>
      <c r="U38" s="36"/>
      <c r="V38" s="36"/>
      <c r="W38" s="36"/>
      <c r="X38" s="36"/>
      <c r="Y38" s="36"/>
      <c r="Z38" s="37"/>
    </row>
    <row r="39" spans="3:26" ht="15.75" hidden="1" outlineLevel="1" thickTop="1" x14ac:dyDescent="0.25">
      <c r="C39" s="59" t="str">
        <f>$L$25</f>
        <v>Market 3</v>
      </c>
      <c r="D39" s="60">
        <f>$L$29*((1+$L$30)^(YEAR(D61)-$L$26))/4</f>
        <v>0</v>
      </c>
      <c r="E39" s="60">
        <f t="shared" ref="E39:K39" si="6">$L$29*((1+$L$30)^(YEAR(E61)-$L$26))/4</f>
        <v>0</v>
      </c>
      <c r="F39" s="60">
        <f t="shared" si="6"/>
        <v>0</v>
      </c>
      <c r="G39" s="60">
        <f t="shared" si="6"/>
        <v>0</v>
      </c>
      <c r="H39" s="60">
        <f t="shared" si="6"/>
        <v>0</v>
      </c>
      <c r="I39" s="60">
        <f t="shared" si="6"/>
        <v>0</v>
      </c>
      <c r="J39" s="60">
        <f t="shared" si="6"/>
        <v>0</v>
      </c>
      <c r="K39" s="60">
        <f t="shared" si="6"/>
        <v>0</v>
      </c>
      <c r="L39" s="61"/>
      <c r="M39" s="60">
        <f>$L$29*((1+$L$30)^(YEAR(M61)-$L$26))</f>
        <v>0</v>
      </c>
      <c r="N39" s="60">
        <f t="shared" ref="N39:P39" si="7">$L$29*((1+$L$30)^(YEAR(N61)-$L$26))</f>
        <v>0</v>
      </c>
      <c r="O39" s="60">
        <f t="shared" si="7"/>
        <v>0</v>
      </c>
      <c r="P39" s="60">
        <f t="shared" si="7"/>
        <v>0</v>
      </c>
      <c r="R39" s="41"/>
      <c r="S39" s="42"/>
      <c r="T39" s="42"/>
      <c r="U39" s="42"/>
      <c r="V39" s="42"/>
      <c r="W39" s="42"/>
      <c r="X39" s="42"/>
      <c r="Y39" s="42"/>
      <c r="Z39" s="43"/>
    </row>
    <row r="40" spans="3:26" ht="18" hidden="1" outlineLevel="1" thickBot="1" x14ac:dyDescent="0.35">
      <c r="D40" s="14"/>
      <c r="E40" s="15"/>
      <c r="F40" s="15"/>
      <c r="G40" s="15"/>
      <c r="H40" s="15"/>
      <c r="I40" s="15"/>
      <c r="J40" s="16"/>
      <c r="K40" s="16"/>
      <c r="L40" s="16"/>
      <c r="M40" s="16"/>
      <c r="N40" s="16"/>
      <c r="O40" s="16"/>
      <c r="P40" s="16"/>
      <c r="R40" s="12"/>
      <c r="S40" s="17" t="s">
        <v>48</v>
      </c>
      <c r="Z40" s="13"/>
    </row>
    <row r="41" spans="3:26" ht="20.25" hidden="1" outlineLevel="1" thickTop="1" x14ac:dyDescent="0.3">
      <c r="C41" s="54" t="s">
        <v>49</v>
      </c>
      <c r="R41" s="12"/>
      <c r="S41" s="80"/>
      <c r="Z41" s="13"/>
    </row>
    <row r="42" spans="3:26" ht="19.5" hidden="1" outlineLevel="1" x14ac:dyDescent="0.3">
      <c r="C42" s="55"/>
      <c r="D42" s="500" t="s">
        <v>50</v>
      </c>
      <c r="E42" s="500"/>
      <c r="F42" s="500"/>
      <c r="G42" s="500"/>
      <c r="H42" s="500"/>
      <c r="I42" s="500"/>
      <c r="J42" s="500"/>
      <c r="K42" s="500"/>
      <c r="L42" s="61"/>
      <c r="M42" s="499" t="s">
        <v>51</v>
      </c>
      <c r="N42" s="499"/>
      <c r="O42" s="499"/>
      <c r="P42" s="499"/>
      <c r="R42" s="12"/>
      <c r="S42" s="81"/>
      <c r="T42" s="499" t="s">
        <v>52</v>
      </c>
      <c r="U42" s="499"/>
      <c r="V42" s="499"/>
      <c r="W42" s="499"/>
      <c r="X42" s="499"/>
      <c r="Y42" s="499"/>
      <c r="Z42" s="13"/>
    </row>
    <row r="43" spans="3:26" hidden="1" outlineLevel="1" x14ac:dyDescent="0.25">
      <c r="C43" s="56"/>
      <c r="D43" s="500" t="s">
        <v>42</v>
      </c>
      <c r="E43" s="500"/>
      <c r="F43" s="500"/>
      <c r="G43" s="500"/>
      <c r="H43" s="500" t="s">
        <v>43</v>
      </c>
      <c r="I43" s="500"/>
      <c r="J43" s="500"/>
      <c r="K43" s="500"/>
      <c r="L43" s="61"/>
      <c r="M43" s="62" t="s">
        <v>44</v>
      </c>
      <c r="N43" s="62" t="s">
        <v>45</v>
      </c>
      <c r="O43" s="62" t="s">
        <v>46</v>
      </c>
      <c r="P43" s="62" t="s">
        <v>47</v>
      </c>
      <c r="R43" s="12"/>
      <c r="S43" s="81"/>
      <c r="T43" s="62" t="s">
        <v>42</v>
      </c>
      <c r="U43" s="62" t="s">
        <v>43</v>
      </c>
      <c r="V43" s="62" t="s">
        <v>44</v>
      </c>
      <c r="W43" s="62" t="s">
        <v>45</v>
      </c>
      <c r="X43" s="62" t="s">
        <v>46</v>
      </c>
      <c r="Y43" s="62" t="s">
        <v>47</v>
      </c>
      <c r="Z43" s="13"/>
    </row>
    <row r="44" spans="3:26" hidden="1" outlineLevel="1" x14ac:dyDescent="0.25">
      <c r="C44" s="57"/>
      <c r="D44" s="58">
        <f>StartDate</f>
        <v>46023</v>
      </c>
      <c r="E44" s="58">
        <f>EDATE(D44,3)</f>
        <v>46113</v>
      </c>
      <c r="F44" s="58">
        <f t="shared" ref="F44:K44" si="8">EDATE(E44,3)</f>
        <v>46204</v>
      </c>
      <c r="G44" s="58">
        <f t="shared" si="8"/>
        <v>46296</v>
      </c>
      <c r="H44" s="58">
        <f t="shared" si="8"/>
        <v>46388</v>
      </c>
      <c r="I44" s="58">
        <f t="shared" si="8"/>
        <v>46478</v>
      </c>
      <c r="J44" s="58">
        <f t="shared" si="8"/>
        <v>46569</v>
      </c>
      <c r="K44" s="58">
        <f t="shared" si="8"/>
        <v>46661</v>
      </c>
      <c r="L44" s="61"/>
      <c r="M44" s="58">
        <f>EDATE(K44,3)</f>
        <v>46753</v>
      </c>
      <c r="N44" s="58">
        <f t="shared" ref="N44:P44" si="9">EDATE(M44,12)</f>
        <v>47119</v>
      </c>
      <c r="O44" s="58">
        <f t="shared" si="9"/>
        <v>47484</v>
      </c>
      <c r="P44" s="58">
        <f t="shared" si="9"/>
        <v>47849</v>
      </c>
      <c r="R44" s="12"/>
      <c r="S44" s="81"/>
      <c r="T44" s="77">
        <f>D61</f>
        <v>46023</v>
      </c>
      <c r="U44" s="77">
        <f>H61</f>
        <v>46388</v>
      </c>
      <c r="V44" s="77">
        <f>M61</f>
        <v>46753</v>
      </c>
      <c r="W44" s="77">
        <f t="shared" ref="W44:Y44" si="10">EDATE(V44,12)</f>
        <v>47119</v>
      </c>
      <c r="X44" s="77">
        <f t="shared" si="10"/>
        <v>47484</v>
      </c>
      <c r="Y44" s="77">
        <f t="shared" si="10"/>
        <v>47849</v>
      </c>
      <c r="Z44" s="13"/>
    </row>
    <row r="45" spans="3:26" hidden="1" outlineLevel="1" x14ac:dyDescent="0.25">
      <c r="C45" s="59" t="str">
        <f>$D$25</f>
        <v>Europe</v>
      </c>
      <c r="D45" s="65"/>
      <c r="E45" s="65"/>
      <c r="F45" s="65"/>
      <c r="G45" s="65"/>
      <c r="H45" s="72">
        <v>0</v>
      </c>
      <c r="I45" s="72">
        <v>0</v>
      </c>
      <c r="J45" s="72">
        <v>0</v>
      </c>
      <c r="K45" s="72">
        <v>0</v>
      </c>
      <c r="L45" s="61"/>
      <c r="M45" s="73">
        <v>0</v>
      </c>
      <c r="N45" s="73">
        <v>0</v>
      </c>
      <c r="O45" s="73">
        <v>0</v>
      </c>
      <c r="P45" s="73">
        <v>0</v>
      </c>
      <c r="R45" s="12"/>
      <c r="S45" s="59" t="str">
        <f>C62</f>
        <v>Europe</v>
      </c>
      <c r="T45" s="60">
        <f>SUM(D62:G62)</f>
        <v>0</v>
      </c>
      <c r="U45" s="60">
        <f>SUM(H62:K62)</f>
        <v>158054.40000000002</v>
      </c>
      <c r="V45" s="60">
        <f>M62</f>
        <v>295034.88000000006</v>
      </c>
      <c r="W45" s="60">
        <f t="shared" ref="W45:Y47" si="11">N62</f>
        <v>660878.13120000018</v>
      </c>
      <c r="X45" s="60">
        <f t="shared" si="11"/>
        <v>888220.20833280031</v>
      </c>
      <c r="Y45" s="60">
        <f t="shared" si="11"/>
        <v>1243508.2916659205</v>
      </c>
      <c r="Z45" s="13"/>
    </row>
    <row r="46" spans="3:26" hidden="1" outlineLevel="1" x14ac:dyDescent="0.25">
      <c r="C46" s="59" t="str">
        <f>$H$25</f>
        <v>USA &amp; Canada</v>
      </c>
      <c r="D46" s="69"/>
      <c r="E46" s="69"/>
      <c r="F46" s="69"/>
      <c r="G46" s="69"/>
      <c r="H46" s="69"/>
      <c r="I46" s="69"/>
      <c r="J46" s="69"/>
      <c r="K46" s="69"/>
      <c r="L46" s="61"/>
      <c r="M46" s="74">
        <v>0</v>
      </c>
      <c r="N46" s="74">
        <v>0</v>
      </c>
      <c r="O46" s="74">
        <v>0</v>
      </c>
      <c r="P46" s="74">
        <v>0</v>
      </c>
      <c r="R46" s="12"/>
      <c r="S46" s="59" t="str">
        <f>C63</f>
        <v>USA &amp; Canada</v>
      </c>
      <c r="T46" s="60">
        <f>SUM(D63:G63)</f>
        <v>0</v>
      </c>
      <c r="U46" s="60">
        <f>SUM(H63:K63)</f>
        <v>0</v>
      </c>
      <c r="V46" s="60">
        <f>M63</f>
        <v>0</v>
      </c>
      <c r="W46" s="60">
        <f t="shared" si="11"/>
        <v>418556.14976000017</v>
      </c>
      <c r="X46" s="60">
        <f t="shared" si="11"/>
        <v>1171957.2193280007</v>
      </c>
      <c r="Y46" s="60">
        <f t="shared" si="11"/>
        <v>1837628.9199063054</v>
      </c>
      <c r="Z46" s="13"/>
    </row>
    <row r="47" spans="3:26" hidden="1" outlineLevel="1" x14ac:dyDescent="0.25">
      <c r="C47" s="59" t="str">
        <f>$L$25</f>
        <v>Market 3</v>
      </c>
      <c r="D47" s="69"/>
      <c r="E47" s="69"/>
      <c r="F47" s="69"/>
      <c r="G47" s="69"/>
      <c r="H47" s="69"/>
      <c r="I47" s="69"/>
      <c r="J47" s="69"/>
      <c r="K47" s="69"/>
      <c r="L47" s="61"/>
      <c r="M47" s="69"/>
      <c r="N47" s="69"/>
      <c r="O47" s="69"/>
      <c r="P47" s="69"/>
      <c r="R47" s="12"/>
      <c r="S47" s="59" t="str">
        <f>C64</f>
        <v>Market 3</v>
      </c>
      <c r="T47" s="60">
        <f>SUM(D64:G64)</f>
        <v>0</v>
      </c>
      <c r="U47" s="60">
        <f>SUM(H64:K64)</f>
        <v>0</v>
      </c>
      <c r="V47" s="60">
        <f>M64</f>
        <v>0</v>
      </c>
      <c r="W47" s="60">
        <f t="shared" si="11"/>
        <v>0</v>
      </c>
      <c r="X47" s="60">
        <f t="shared" si="11"/>
        <v>0</v>
      </c>
      <c r="Y47" s="60">
        <f t="shared" si="11"/>
        <v>0</v>
      </c>
      <c r="Z47" s="13"/>
    </row>
    <row r="48" spans="3:26" hidden="1" outlineLevel="1" x14ac:dyDescent="0.25">
      <c r="D48" s="14"/>
      <c r="E48" s="15"/>
      <c r="F48" s="15"/>
      <c r="G48" s="15"/>
      <c r="H48" s="15"/>
      <c r="I48" s="15"/>
      <c r="J48" s="16"/>
      <c r="K48" s="16"/>
      <c r="L48" s="16"/>
      <c r="M48" s="16"/>
      <c r="N48" s="16"/>
      <c r="O48" s="16"/>
      <c r="P48" s="16"/>
      <c r="R48" s="12"/>
      <c r="S48" s="81"/>
      <c r="T48" s="79">
        <f t="shared" ref="T48:Y48" si="12">SUM(T45:T47)</f>
        <v>0</v>
      </c>
      <c r="U48" s="79">
        <f t="shared" si="12"/>
        <v>158054.40000000002</v>
      </c>
      <c r="V48" s="79">
        <f t="shared" si="12"/>
        <v>295034.88000000006</v>
      </c>
      <c r="W48" s="79">
        <f t="shared" si="12"/>
        <v>1079434.2809600004</v>
      </c>
      <c r="X48" s="79">
        <f t="shared" si="12"/>
        <v>2060177.427660801</v>
      </c>
      <c r="Y48" s="79">
        <f t="shared" si="12"/>
        <v>3081137.2115722261</v>
      </c>
      <c r="Z48" s="13"/>
    </row>
    <row r="49" spans="3:26" ht="19.5" hidden="1" outlineLevel="1" x14ac:dyDescent="0.3">
      <c r="C49" s="54" t="s">
        <v>53</v>
      </c>
      <c r="R49" s="12"/>
      <c r="Z49" s="13"/>
    </row>
    <row r="50" spans="3:26" ht="19.5" hidden="1" outlineLevel="1" x14ac:dyDescent="0.3">
      <c r="C50" s="55"/>
      <c r="D50" s="500" t="s">
        <v>54</v>
      </c>
      <c r="E50" s="500"/>
      <c r="F50" s="500"/>
      <c r="G50" s="500"/>
      <c r="H50" s="500"/>
      <c r="I50" s="500"/>
      <c r="J50" s="500"/>
      <c r="K50" s="500"/>
      <c r="L50" s="61"/>
      <c r="M50" s="499" t="s">
        <v>55</v>
      </c>
      <c r="N50" s="499"/>
      <c r="O50" s="499"/>
      <c r="P50" s="499"/>
      <c r="R50" s="12"/>
      <c r="Z50" s="13"/>
    </row>
    <row r="51" spans="3:26" hidden="1" outlineLevel="1" x14ac:dyDescent="0.25">
      <c r="C51" s="56"/>
      <c r="D51" s="500" t="s">
        <v>42</v>
      </c>
      <c r="E51" s="500"/>
      <c r="F51" s="500"/>
      <c r="G51" s="500"/>
      <c r="H51" s="500" t="s">
        <v>43</v>
      </c>
      <c r="I51" s="500"/>
      <c r="J51" s="500"/>
      <c r="K51" s="500"/>
      <c r="L51" s="61"/>
      <c r="M51" s="62" t="s">
        <v>44</v>
      </c>
      <c r="N51" s="62" t="s">
        <v>45</v>
      </c>
      <c r="O51" s="62" t="s">
        <v>46</v>
      </c>
      <c r="P51" s="62" t="s">
        <v>47</v>
      </c>
      <c r="R51" s="12"/>
      <c r="Z51" s="13"/>
    </row>
    <row r="52" spans="3:26" hidden="1" outlineLevel="1" x14ac:dyDescent="0.25">
      <c r="C52" s="57"/>
      <c r="D52" s="58">
        <f>StartDate</f>
        <v>46023</v>
      </c>
      <c r="E52" s="58">
        <f>EDATE(D52,3)</f>
        <v>46113</v>
      </c>
      <c r="F52" s="58">
        <f t="shared" ref="F52:K52" si="13">EDATE(E52,3)</f>
        <v>46204</v>
      </c>
      <c r="G52" s="58">
        <f t="shared" si="13"/>
        <v>46296</v>
      </c>
      <c r="H52" s="58">
        <f t="shared" si="13"/>
        <v>46388</v>
      </c>
      <c r="I52" s="58">
        <f t="shared" si="13"/>
        <v>46478</v>
      </c>
      <c r="J52" s="58">
        <f t="shared" si="13"/>
        <v>46569</v>
      </c>
      <c r="K52" s="58">
        <f t="shared" si="13"/>
        <v>46661</v>
      </c>
      <c r="L52" s="61"/>
      <c r="M52" s="58">
        <f>EDATE(K52,3)</f>
        <v>46753</v>
      </c>
      <c r="N52" s="58">
        <f t="shared" ref="N52:P52" si="14">EDATE(M52,12)</f>
        <v>47119</v>
      </c>
      <c r="O52" s="58">
        <f t="shared" si="14"/>
        <v>47484</v>
      </c>
      <c r="P52" s="58">
        <f t="shared" si="14"/>
        <v>47849</v>
      </c>
      <c r="R52" s="12"/>
      <c r="Z52" s="13"/>
    </row>
    <row r="53" spans="3:26" hidden="1" outlineLevel="1" x14ac:dyDescent="0.25">
      <c r="C53" s="59" t="str">
        <f>$D$25</f>
        <v>Europe</v>
      </c>
      <c r="D53" s="70"/>
      <c r="E53" s="70"/>
      <c r="F53" s="70"/>
      <c r="G53" s="70"/>
      <c r="H53" s="73">
        <v>0.03</v>
      </c>
      <c r="I53" s="73">
        <v>0.03</v>
      </c>
      <c r="J53" s="73">
        <v>0.03</v>
      </c>
      <c r="K53" s="73">
        <v>0.03</v>
      </c>
      <c r="L53" s="61"/>
      <c r="M53" s="72">
        <v>0.05</v>
      </c>
      <c r="N53" s="72">
        <v>0.1</v>
      </c>
      <c r="O53" s="72">
        <v>0.12</v>
      </c>
      <c r="P53" s="72">
        <v>0.15</v>
      </c>
      <c r="Q53" s="49"/>
      <c r="R53" s="12"/>
      <c r="Z53" s="13"/>
    </row>
    <row r="54" spans="3:26" hidden="1" outlineLevel="1" x14ac:dyDescent="0.25">
      <c r="C54" s="59" t="str">
        <f>$H$25</f>
        <v>USA &amp; Canada</v>
      </c>
      <c r="D54" s="71"/>
      <c r="E54" s="71"/>
      <c r="F54" s="71"/>
      <c r="G54" s="71"/>
      <c r="H54" s="71"/>
      <c r="I54" s="71"/>
      <c r="J54" s="71"/>
      <c r="K54" s="71"/>
      <c r="L54" s="61"/>
      <c r="M54" s="75">
        <v>0</v>
      </c>
      <c r="N54" s="75">
        <v>0.02</v>
      </c>
      <c r="O54" s="75">
        <v>0.05</v>
      </c>
      <c r="P54" s="75">
        <v>7.0000000000000007E-2</v>
      </c>
      <c r="Q54" s="49"/>
      <c r="R54" s="12"/>
      <c r="Z54" s="13"/>
    </row>
    <row r="55" spans="3:26" hidden="1" outlineLevel="1" x14ac:dyDescent="0.25">
      <c r="C55" s="59" t="str">
        <f>$L$25</f>
        <v>Market 3</v>
      </c>
      <c r="D55" s="69"/>
      <c r="E55" s="69"/>
      <c r="F55" s="69"/>
      <c r="G55" s="69"/>
      <c r="H55" s="69"/>
      <c r="I55" s="69"/>
      <c r="J55" s="69"/>
      <c r="K55" s="69"/>
      <c r="L55" s="61"/>
      <c r="M55" s="69"/>
      <c r="N55" s="69"/>
      <c r="O55" s="69"/>
      <c r="P55" s="69"/>
      <c r="R55" s="12"/>
      <c r="Z55" s="13"/>
    </row>
    <row r="56" spans="3:26" hidden="1" outlineLevel="1" x14ac:dyDescent="0.25">
      <c r="D56" s="50"/>
      <c r="E56" s="50"/>
      <c r="F56" s="50"/>
      <c r="G56" s="50"/>
      <c r="H56" s="50"/>
      <c r="I56" s="50"/>
      <c r="J56" s="50"/>
      <c r="K56" s="50"/>
      <c r="L56" s="50"/>
      <c r="M56" s="50"/>
      <c r="N56" s="50"/>
      <c r="O56" s="50"/>
      <c r="P56" s="50"/>
      <c r="R56" s="12"/>
      <c r="Z56" s="13"/>
    </row>
    <row r="57" spans="3:26" hidden="1" outlineLevel="1" x14ac:dyDescent="0.25">
      <c r="R57" s="12"/>
      <c r="Z57" s="13"/>
    </row>
    <row r="58" spans="3:26" ht="19.5" hidden="1" outlineLevel="1" x14ac:dyDescent="0.3">
      <c r="C58" s="54" t="s">
        <v>23</v>
      </c>
      <c r="R58" s="12"/>
      <c r="Z58" s="13"/>
    </row>
    <row r="59" spans="3:26" ht="19.5" hidden="1" outlineLevel="1" x14ac:dyDescent="0.3">
      <c r="C59" s="55"/>
      <c r="D59" s="500" t="s">
        <v>56</v>
      </c>
      <c r="E59" s="500"/>
      <c r="F59" s="500"/>
      <c r="G59" s="500"/>
      <c r="H59" s="500"/>
      <c r="I59" s="500"/>
      <c r="J59" s="500"/>
      <c r="K59" s="500"/>
      <c r="L59" s="61"/>
      <c r="M59" s="499" t="s">
        <v>57</v>
      </c>
      <c r="N59" s="499"/>
      <c r="O59" s="499"/>
      <c r="P59" s="499"/>
      <c r="R59" s="12"/>
      <c r="Z59" s="13"/>
    </row>
    <row r="60" spans="3:26" hidden="1" outlineLevel="1" x14ac:dyDescent="0.25">
      <c r="C60" s="56"/>
      <c r="D60" s="500" t="s">
        <v>42</v>
      </c>
      <c r="E60" s="500"/>
      <c r="F60" s="500"/>
      <c r="G60" s="500"/>
      <c r="H60" s="500" t="s">
        <v>43</v>
      </c>
      <c r="I60" s="500"/>
      <c r="J60" s="500"/>
      <c r="K60" s="500"/>
      <c r="L60" s="61"/>
      <c r="M60" s="62" t="s">
        <v>44</v>
      </c>
      <c r="N60" s="62" t="s">
        <v>45</v>
      </c>
      <c r="O60" s="62" t="s">
        <v>46</v>
      </c>
      <c r="P60" s="62" t="s">
        <v>47</v>
      </c>
      <c r="R60" s="12"/>
      <c r="Z60" s="13"/>
    </row>
    <row r="61" spans="3:26" hidden="1" outlineLevel="1" x14ac:dyDescent="0.25">
      <c r="C61" s="76"/>
      <c r="D61" s="77">
        <f>StartDate</f>
        <v>46023</v>
      </c>
      <c r="E61" s="77">
        <f>EDATE(D61,3)</f>
        <v>46113</v>
      </c>
      <c r="F61" s="77">
        <f t="shared" ref="F61:K61" si="15">EDATE(E61,3)</f>
        <v>46204</v>
      </c>
      <c r="G61" s="77">
        <f t="shared" si="15"/>
        <v>46296</v>
      </c>
      <c r="H61" s="77">
        <f t="shared" si="15"/>
        <v>46388</v>
      </c>
      <c r="I61" s="77">
        <f t="shared" si="15"/>
        <v>46478</v>
      </c>
      <c r="J61" s="77">
        <f t="shared" si="15"/>
        <v>46569</v>
      </c>
      <c r="K61" s="77">
        <f t="shared" si="15"/>
        <v>46661</v>
      </c>
      <c r="L61" s="61"/>
      <c r="M61" s="77">
        <f>EDATE(K61,3)</f>
        <v>46753</v>
      </c>
      <c r="N61" s="77">
        <f t="shared" ref="N61:P61" si="16">EDATE(M61,12)</f>
        <v>47119</v>
      </c>
      <c r="O61" s="77">
        <f t="shared" si="16"/>
        <v>47484</v>
      </c>
      <c r="P61" s="77">
        <f t="shared" si="16"/>
        <v>47849</v>
      </c>
      <c r="R61" s="12"/>
      <c r="Z61" s="13"/>
    </row>
    <row r="62" spans="3:26" hidden="1" outlineLevel="1" x14ac:dyDescent="0.25">
      <c r="C62" s="59" t="str">
        <f>$D$25</f>
        <v>Europe</v>
      </c>
      <c r="D62" s="60">
        <f>D37*(1-D45)*D53</f>
        <v>0</v>
      </c>
      <c r="E62" s="60">
        <f t="shared" ref="E62:P62" si="17">E37*(1-E45)*E53</f>
        <v>0</v>
      </c>
      <c r="F62" s="60">
        <f t="shared" si="17"/>
        <v>0</v>
      </c>
      <c r="G62" s="60">
        <f t="shared" si="17"/>
        <v>0</v>
      </c>
      <c r="H62" s="60">
        <f>H37*(1-H45)*H53</f>
        <v>39513.600000000006</v>
      </c>
      <c r="I62" s="60">
        <f t="shared" si="17"/>
        <v>39513.600000000006</v>
      </c>
      <c r="J62" s="60">
        <f t="shared" si="17"/>
        <v>39513.600000000006</v>
      </c>
      <c r="K62" s="60">
        <f t="shared" si="17"/>
        <v>39513.600000000006</v>
      </c>
      <c r="L62" s="61"/>
      <c r="M62" s="60">
        <f t="shared" si="17"/>
        <v>295034.88000000006</v>
      </c>
      <c r="N62" s="60">
        <f t="shared" si="17"/>
        <v>660878.13120000018</v>
      </c>
      <c r="O62" s="60">
        <f t="shared" si="17"/>
        <v>888220.20833280031</v>
      </c>
      <c r="P62" s="60">
        <f t="shared" si="17"/>
        <v>1243508.2916659205</v>
      </c>
      <c r="R62" s="12"/>
      <c r="Z62" s="13"/>
    </row>
    <row r="63" spans="3:26" hidden="1" outlineLevel="1" x14ac:dyDescent="0.25">
      <c r="C63" s="59" t="str">
        <f>$H$25</f>
        <v>USA &amp; Canada</v>
      </c>
      <c r="D63" s="60">
        <f t="shared" ref="D63:P64" si="18">D38*(1-D46)*D54</f>
        <v>0</v>
      </c>
      <c r="E63" s="60">
        <f t="shared" si="18"/>
        <v>0</v>
      </c>
      <c r="F63" s="60">
        <f t="shared" si="18"/>
        <v>0</v>
      </c>
      <c r="G63" s="60">
        <f t="shared" si="18"/>
        <v>0</v>
      </c>
      <c r="H63" s="60">
        <f t="shared" si="18"/>
        <v>0</v>
      </c>
      <c r="I63" s="60">
        <f t="shared" si="18"/>
        <v>0</v>
      </c>
      <c r="J63" s="60">
        <f t="shared" si="18"/>
        <v>0</v>
      </c>
      <c r="K63" s="60">
        <f t="shared" si="18"/>
        <v>0</v>
      </c>
      <c r="L63" s="61"/>
      <c r="M63" s="60">
        <f t="shared" si="18"/>
        <v>0</v>
      </c>
      <c r="N63" s="60">
        <f t="shared" si="18"/>
        <v>418556.14976000017</v>
      </c>
      <c r="O63" s="60">
        <f t="shared" si="18"/>
        <v>1171957.2193280007</v>
      </c>
      <c r="P63" s="60">
        <f t="shared" si="18"/>
        <v>1837628.9199063054</v>
      </c>
      <c r="R63" s="12"/>
      <c r="Z63" s="13"/>
    </row>
    <row r="64" spans="3:26" hidden="1" outlineLevel="1" x14ac:dyDescent="0.25">
      <c r="C64" s="59" t="str">
        <f>$L$25</f>
        <v>Market 3</v>
      </c>
      <c r="D64" s="60">
        <f t="shared" si="18"/>
        <v>0</v>
      </c>
      <c r="E64" s="60">
        <f t="shared" si="18"/>
        <v>0</v>
      </c>
      <c r="F64" s="60">
        <f t="shared" si="18"/>
        <v>0</v>
      </c>
      <c r="G64" s="60">
        <f t="shared" si="18"/>
        <v>0</v>
      </c>
      <c r="H64" s="60">
        <f t="shared" si="18"/>
        <v>0</v>
      </c>
      <c r="I64" s="60">
        <f t="shared" si="18"/>
        <v>0</v>
      </c>
      <c r="J64" s="60">
        <f t="shared" si="18"/>
        <v>0</v>
      </c>
      <c r="K64" s="60">
        <f t="shared" si="18"/>
        <v>0</v>
      </c>
      <c r="L64" s="61"/>
      <c r="M64" s="60">
        <f t="shared" si="18"/>
        <v>0</v>
      </c>
      <c r="N64" s="60">
        <f t="shared" si="18"/>
        <v>0</v>
      </c>
      <c r="O64" s="60">
        <f t="shared" si="18"/>
        <v>0</v>
      </c>
      <c r="P64" s="60">
        <f t="shared" si="18"/>
        <v>0</v>
      </c>
      <c r="R64" s="12"/>
      <c r="Z64" s="13"/>
    </row>
    <row r="65" spans="2:26" hidden="1" outlineLevel="1" x14ac:dyDescent="0.25">
      <c r="C65" s="78" t="s">
        <v>58</v>
      </c>
      <c r="D65" s="79">
        <f>SUM(D62:D64)</f>
        <v>0</v>
      </c>
      <c r="E65" s="79">
        <f t="shared" ref="E65:P65" si="19">SUM(E62:E64)</f>
        <v>0</v>
      </c>
      <c r="F65" s="79">
        <f t="shared" si="19"/>
        <v>0</v>
      </c>
      <c r="G65" s="79">
        <f t="shared" si="19"/>
        <v>0</v>
      </c>
      <c r="H65" s="79">
        <f t="shared" si="19"/>
        <v>39513.600000000006</v>
      </c>
      <c r="I65" s="79">
        <f t="shared" si="19"/>
        <v>39513.600000000006</v>
      </c>
      <c r="J65" s="79">
        <f t="shared" si="19"/>
        <v>39513.600000000006</v>
      </c>
      <c r="K65" s="79">
        <f t="shared" si="19"/>
        <v>39513.600000000006</v>
      </c>
      <c r="L65" s="61"/>
      <c r="M65" s="79">
        <f t="shared" si="19"/>
        <v>295034.88000000006</v>
      </c>
      <c r="N65" s="79">
        <f t="shared" si="19"/>
        <v>1079434.2809600004</v>
      </c>
      <c r="O65" s="79">
        <f t="shared" si="19"/>
        <v>2060177.427660801</v>
      </c>
      <c r="P65" s="79">
        <f t="shared" si="19"/>
        <v>3081137.2115722261</v>
      </c>
      <c r="R65" s="12"/>
      <c r="Z65" s="13"/>
    </row>
    <row r="66" spans="2:26" ht="15.75" hidden="1" outlineLevel="1" thickBot="1" x14ac:dyDescent="0.3">
      <c r="K66" s="53"/>
      <c r="L66" s="53"/>
      <c r="R66" s="35"/>
      <c r="S66" s="36"/>
      <c r="T66" s="36"/>
      <c r="U66" s="36"/>
      <c r="V66" s="36"/>
      <c r="W66" s="36"/>
      <c r="X66" s="36"/>
      <c r="Y66" s="36"/>
      <c r="Z66" s="37"/>
    </row>
    <row r="67" spans="2:26" ht="15.75" hidden="1" outlineLevel="1" thickTop="1" x14ac:dyDescent="0.25"/>
    <row r="68" spans="2:26" ht="19.5" collapsed="1" x14ac:dyDescent="0.3">
      <c r="B68" s="360" t="s">
        <v>59</v>
      </c>
      <c r="C68" s="517"/>
      <c r="D68" s="517"/>
    </row>
    <row r="69" spans="2:26" ht="25.5" hidden="1" outlineLevel="1" thickTop="1" thickBot="1" x14ac:dyDescent="0.45">
      <c r="C69" s="3" t="s">
        <v>60</v>
      </c>
      <c r="D69" s="4"/>
      <c r="E69" s="4"/>
      <c r="F69" s="4"/>
      <c r="G69" s="4"/>
      <c r="H69" s="4"/>
      <c r="I69" s="4"/>
      <c r="J69" s="4"/>
      <c r="K69" s="4"/>
      <c r="L69" s="4"/>
      <c r="M69" s="4"/>
      <c r="N69" s="4"/>
      <c r="O69" s="4"/>
      <c r="P69" s="4"/>
      <c r="R69" s="5"/>
      <c r="S69" s="6" t="str">
        <f>CompanyName &amp;" Revenue Forecast"</f>
        <v>Sustainsphere Revenue Forecast</v>
      </c>
      <c r="T69" s="7"/>
      <c r="U69" s="7"/>
      <c r="V69" s="7"/>
      <c r="W69" s="7"/>
      <c r="X69" s="7"/>
      <c r="Y69" s="7"/>
      <c r="Z69" s="8"/>
    </row>
    <row r="70" spans="2:26" ht="15.75" hidden="1" outlineLevel="1" thickTop="1" x14ac:dyDescent="0.25">
      <c r="C70" s="9" t="str">
        <f>"Revenues ("&amp;SubHeader&amp;")"</f>
        <v>Revenues (EUR)</v>
      </c>
      <c r="D70" s="10"/>
      <c r="E70" s="11"/>
      <c r="F70" s="11"/>
      <c r="R70" s="12"/>
      <c r="Z70" s="13"/>
    </row>
    <row r="71" spans="2:26" ht="18" hidden="1" outlineLevel="1" thickBot="1" x14ac:dyDescent="0.35">
      <c r="D71" s="14"/>
      <c r="E71" s="15"/>
      <c r="F71" s="15"/>
      <c r="G71" s="15"/>
      <c r="H71" s="15"/>
      <c r="I71" s="15"/>
      <c r="J71" s="16"/>
      <c r="K71" s="16"/>
      <c r="L71" s="16"/>
      <c r="M71" s="16"/>
      <c r="N71" s="16"/>
      <c r="O71" s="16"/>
      <c r="P71" s="16"/>
      <c r="R71" s="12"/>
      <c r="S71" s="17" t="s">
        <v>24</v>
      </c>
      <c r="Z71" s="13"/>
    </row>
    <row r="72" spans="2:26" ht="20.25" hidden="1" outlineLevel="1" thickTop="1" x14ac:dyDescent="0.3">
      <c r="C72" s="2" t="s">
        <v>61</v>
      </c>
      <c r="D72" s="14"/>
      <c r="E72" s="15"/>
      <c r="F72" s="15"/>
      <c r="G72" s="15"/>
      <c r="H72" s="15"/>
      <c r="I72" s="15"/>
      <c r="J72" s="16"/>
      <c r="K72" s="16"/>
      <c r="L72" s="16"/>
      <c r="M72" s="16"/>
      <c r="N72" s="16"/>
      <c r="O72" s="16"/>
      <c r="P72" s="16"/>
      <c r="R72" s="12"/>
      <c r="Z72" s="13"/>
    </row>
    <row r="73" spans="2:26" ht="15.75" hidden="1" outlineLevel="1" x14ac:dyDescent="0.25">
      <c r="C73" s="88"/>
      <c r="D73" s="63" t="s">
        <v>62</v>
      </c>
      <c r="E73" s="512" t="s">
        <v>27</v>
      </c>
      <c r="F73" s="512"/>
      <c r="G73" s="512"/>
      <c r="H73" s="66" t="s">
        <v>63</v>
      </c>
      <c r="I73" s="512" t="s">
        <v>27</v>
      </c>
      <c r="J73" s="512"/>
      <c r="K73" s="512"/>
      <c r="L73" s="66" t="s">
        <v>64</v>
      </c>
      <c r="M73" s="512" t="s">
        <v>27</v>
      </c>
      <c r="N73" s="512"/>
      <c r="O73" s="512"/>
      <c r="P73" s="18"/>
      <c r="Q73" s="18"/>
      <c r="R73" s="19"/>
      <c r="S73" s="18"/>
      <c r="T73" s="18"/>
      <c r="U73" s="18"/>
      <c r="V73" s="18"/>
      <c r="W73" s="18"/>
      <c r="X73" s="18"/>
      <c r="Y73" s="18"/>
      <c r="Z73" s="20"/>
    </row>
    <row r="74" spans="2:26" hidden="1" outlineLevel="1" x14ac:dyDescent="0.25">
      <c r="C74" s="81" t="s">
        <v>65</v>
      </c>
      <c r="D74" s="64">
        <v>0</v>
      </c>
      <c r="E74" s="506"/>
      <c r="F74" s="506"/>
      <c r="G74" s="506"/>
      <c r="H74" s="68">
        <v>1599</v>
      </c>
      <c r="I74" s="506"/>
      <c r="J74" s="506"/>
      <c r="K74" s="506"/>
      <c r="L74" s="68">
        <v>2499</v>
      </c>
      <c r="M74" s="506"/>
      <c r="N74" s="506"/>
      <c r="O74" s="506"/>
      <c r="R74" s="12"/>
      <c r="Z74" s="13"/>
    </row>
    <row r="75" spans="2:26" hidden="1" outlineLevel="1" x14ac:dyDescent="0.25">
      <c r="C75" s="81" t="s">
        <v>66</v>
      </c>
      <c r="D75" s="89">
        <v>0</v>
      </c>
      <c r="E75" s="506"/>
      <c r="F75" s="506"/>
      <c r="G75" s="506"/>
      <c r="H75" s="90">
        <v>0</v>
      </c>
      <c r="I75" s="506"/>
      <c r="J75" s="506"/>
      <c r="K75" s="506"/>
      <c r="L75" s="90">
        <v>0</v>
      </c>
      <c r="M75" s="506"/>
      <c r="N75" s="506"/>
      <c r="O75" s="506"/>
      <c r="R75" s="12"/>
      <c r="Z75" s="13"/>
    </row>
    <row r="76" spans="2:26" hidden="1" outlineLevel="1" x14ac:dyDescent="0.25">
      <c r="C76" s="81" t="s">
        <v>67</v>
      </c>
      <c r="D76" s="89">
        <v>0</v>
      </c>
      <c r="E76" s="506"/>
      <c r="F76" s="506"/>
      <c r="G76" s="506"/>
      <c r="H76" s="90">
        <v>0.05</v>
      </c>
      <c r="I76" s="507"/>
      <c r="J76" s="508"/>
      <c r="K76" s="509"/>
      <c r="L76" s="90">
        <v>0.05</v>
      </c>
      <c r="M76" s="506"/>
      <c r="N76" s="506"/>
      <c r="O76" s="506"/>
      <c r="R76" s="12"/>
      <c r="Z76" s="13"/>
    </row>
    <row r="77" spans="2:26" hidden="1" outlineLevel="1" x14ac:dyDescent="0.25">
      <c r="C77" s="81" t="s">
        <v>68</v>
      </c>
      <c r="D77" s="445">
        <f>D74*(1-D75)*(1-D76)</f>
        <v>0</v>
      </c>
      <c r="E77" s="503"/>
      <c r="F77" s="504"/>
      <c r="G77" s="505"/>
      <c r="H77" s="445">
        <f>H74*(1-H75)*(1-H76)</f>
        <v>1519.05</v>
      </c>
      <c r="I77" s="503"/>
      <c r="J77" s="504"/>
      <c r="K77" s="505"/>
      <c r="L77" s="445">
        <f>L74*(1-L75)*(1-L76)</f>
        <v>2374.0499999999997</v>
      </c>
      <c r="M77" s="503"/>
      <c r="N77" s="504"/>
      <c r="O77" s="505"/>
      <c r="R77" s="12"/>
      <c r="Z77" s="13"/>
    </row>
    <row r="78" spans="2:26" hidden="1" outlineLevel="1" x14ac:dyDescent="0.25">
      <c r="D78" t="s">
        <v>69</v>
      </c>
      <c r="E78" t="s">
        <v>69</v>
      </c>
      <c r="H78" t="s">
        <v>69</v>
      </c>
      <c r="I78" t="s">
        <v>69</v>
      </c>
      <c r="R78" s="12"/>
      <c r="Z78" s="13"/>
    </row>
    <row r="79" spans="2:26" ht="19.5" hidden="1" outlineLevel="1" x14ac:dyDescent="0.3">
      <c r="C79" s="54" t="s">
        <v>70</v>
      </c>
      <c r="J79" s="53" t="s">
        <v>69</v>
      </c>
      <c r="R79" s="12"/>
      <c r="Z79" s="13"/>
    </row>
    <row r="80" spans="2:26" ht="19.5" hidden="1" outlineLevel="1" x14ac:dyDescent="0.3">
      <c r="C80" s="55"/>
      <c r="D80" s="500" t="s">
        <v>71</v>
      </c>
      <c r="E80" s="500"/>
      <c r="F80" s="500"/>
      <c r="G80" s="500"/>
      <c r="H80" s="500"/>
      <c r="I80" s="500"/>
      <c r="J80" s="500"/>
      <c r="K80" s="500"/>
      <c r="L80" s="61"/>
      <c r="M80" s="499" t="s">
        <v>72</v>
      </c>
      <c r="N80" s="499"/>
      <c r="O80" s="499"/>
      <c r="P80" s="499"/>
      <c r="R80" s="12"/>
      <c r="Z80" s="13"/>
    </row>
    <row r="81" spans="3:26" hidden="1" outlineLevel="1" x14ac:dyDescent="0.25">
      <c r="C81" s="56"/>
      <c r="D81" s="500" t="s">
        <v>42</v>
      </c>
      <c r="E81" s="500"/>
      <c r="F81" s="500"/>
      <c r="G81" s="500"/>
      <c r="H81" s="500" t="s">
        <v>43</v>
      </c>
      <c r="I81" s="500"/>
      <c r="J81" s="500"/>
      <c r="K81" s="500"/>
      <c r="L81" s="61"/>
      <c r="M81" s="62" t="s">
        <v>44</v>
      </c>
      <c r="N81" s="62" t="s">
        <v>45</v>
      </c>
      <c r="O81" s="62" t="s">
        <v>46</v>
      </c>
      <c r="P81" s="62" t="s">
        <v>47</v>
      </c>
      <c r="R81" s="12"/>
      <c r="Z81" s="13"/>
    </row>
    <row r="82" spans="3:26" hidden="1" outlineLevel="1" x14ac:dyDescent="0.25">
      <c r="C82" s="91"/>
      <c r="D82" s="58">
        <f>StartDate</f>
        <v>46023</v>
      </c>
      <c r="E82" s="58">
        <f>EDATE(D82,3)</f>
        <v>46113</v>
      </c>
      <c r="F82" s="58">
        <f t="shared" ref="F82:K82" si="20">EDATE(E82,3)</f>
        <v>46204</v>
      </c>
      <c r="G82" s="58">
        <f t="shared" si="20"/>
        <v>46296</v>
      </c>
      <c r="H82" s="58">
        <f t="shared" si="20"/>
        <v>46388</v>
      </c>
      <c r="I82" s="58">
        <f t="shared" si="20"/>
        <v>46478</v>
      </c>
      <c r="J82" s="58">
        <f t="shared" si="20"/>
        <v>46569</v>
      </c>
      <c r="K82" s="58">
        <f t="shared" si="20"/>
        <v>46661</v>
      </c>
      <c r="L82" s="61"/>
      <c r="M82" s="58">
        <f>EDATE(K82,3)</f>
        <v>46753</v>
      </c>
      <c r="N82" s="58">
        <f t="shared" ref="N82:P82" si="21">EDATE(M82,12)</f>
        <v>47119</v>
      </c>
      <c r="O82" s="58">
        <f t="shared" si="21"/>
        <v>47484</v>
      </c>
      <c r="P82" s="58">
        <f t="shared" si="21"/>
        <v>47849</v>
      </c>
      <c r="R82" s="12"/>
      <c r="Z82" s="13"/>
    </row>
    <row r="83" spans="3:26" hidden="1" outlineLevel="1" x14ac:dyDescent="0.25">
      <c r="C83" s="94" t="str">
        <f>$D$73</f>
        <v>Free Tier</v>
      </c>
      <c r="D83" s="92"/>
      <c r="E83" s="92"/>
      <c r="F83" s="92"/>
      <c r="G83" s="92"/>
      <c r="H83" s="92">
        <f>SUMIFS(Bottom_Up_Calculations!$C:$C, Bottom_Up_Calculations!$A:$A, "&gt;="&amp;H$82, Bottom_Up_Calculations!$A:$A, "&lt;"&amp;EDATE(H$82,3))</f>
        <v>94.574999999999989</v>
      </c>
      <c r="I83" s="92">
        <f>SUMIFS(Bottom_Up_Calculations!$C:$C, Bottom_Up_Calculations!$A:$A, "&gt;="&amp;I$82, Bottom_Up_Calculations!$A:$A, "&lt;"&amp;EDATE(I$82,3))</f>
        <v>109.48238437500001</v>
      </c>
      <c r="J83" s="92">
        <f>SUMIFS(Bottom_Up_Calculations!$C:$C, Bottom_Up_Calculations!$A:$A, "&gt;="&amp;J$82, Bottom_Up_Calculations!$A:$A, "&lt;"&amp;EDATE(J$82,3))</f>
        <v>126.73954521210942</v>
      </c>
      <c r="K83" s="92">
        <f>SUMIFS(Bottom_Up_Calculations!$C:$C, Bottom_Up_Calculations!$A:$A, "&gt;="&amp;K$82, Bottom_Up_Calculations!$A:$A, "&lt;"&amp;EDATE(K$82,3))</f>
        <v>146.71686602616819</v>
      </c>
      <c r="L83" s="61"/>
      <c r="M83" s="92">
        <f>SUMIFS(Bottom_Up_Calculations!$C:$C, Bottom_Up_Calculations!$A:$A, "&gt;="&amp;M$82, Bottom_Up_Calculations!$A:$A, "&lt;"&amp;EDATE(M$82,12))</f>
        <v>857.54617061494309</v>
      </c>
      <c r="N83" s="92">
        <f>SUMIFS(Bottom_Up_Calculations!$C:$C, Bottom_Up_Calculations!$A:$A, "&gt;="&amp;N$82, Bottom_Up_Calculations!$A:$A, "&lt;"&amp;EDATE(N$82,12))</f>
        <v>1540.0297153548986</v>
      </c>
      <c r="O83" s="92">
        <f>SUMIFS(Bottom_Up_Calculations!$C:$C, Bottom_Up_Calculations!$A:$A, "&gt;="&amp;O$82, Bottom_Up_Calculations!$A:$A, "&lt;"&amp;EDATE(O$82,12))</f>
        <v>2765.6721065821544</v>
      </c>
      <c r="P83" s="92">
        <f>SUMIFS(Bottom_Up_Calculations!$C:$C, Bottom_Up_Calculations!$A:$A, "&gt;="&amp;P$82, Bottom_Up_Calculations!$A:$A, "&lt;"&amp;EDATE(P$82,12))</f>
        <v>4966.7497483085126</v>
      </c>
      <c r="R83" s="12"/>
      <c r="Z83" s="13"/>
    </row>
    <row r="84" spans="3:26" hidden="1" outlineLevel="1" x14ac:dyDescent="0.25">
      <c r="C84" s="94" t="str">
        <f>$H$73</f>
        <v>Professional</v>
      </c>
      <c r="D84" s="93"/>
      <c r="E84" s="93"/>
      <c r="F84" s="93"/>
      <c r="G84" s="93"/>
      <c r="H84" s="93">
        <f>SUMIFS(Bottom_Up_Calculations!$H:$H, Bottom_Up_Calculations!$A:$A, "&gt;="&amp;H$82, Bottom_Up_Calculations!$A:$A, "&lt;"&amp;EDATE(H$82,3))</f>
        <v>18.914999999999999</v>
      </c>
      <c r="I84" s="93">
        <f>SUMIFS(Bottom_Up_Calculations!$H:$H, Bottom_Up_Calculations!$A:$A, "&gt;="&amp;I$82, Bottom_Up_Calculations!$A:$A, "&lt;"&amp;EDATE(I$82,3))</f>
        <v>21.896476875000001</v>
      </c>
      <c r="J84" s="93">
        <f>SUMIFS(Bottom_Up_Calculations!$H:$H, Bottom_Up_Calculations!$A:$A, "&gt;="&amp;J$82, Bottom_Up_Calculations!$A:$A, "&lt;"&amp;EDATE(J$82,3))</f>
        <v>25.347909042421886</v>
      </c>
      <c r="K84" s="93">
        <f>SUMIFS(Bottom_Up_Calculations!$H:$H, Bottom_Up_Calculations!$A:$A, "&gt;="&amp;K$82, Bottom_Up_Calculations!$A:$A, "&lt;"&amp;EDATE(K$82,3))</f>
        <v>29.34337320523364</v>
      </c>
      <c r="L84" s="61"/>
      <c r="M84" s="93">
        <f>SUMIFS(Bottom_Up_Calculations!$H:$H, Bottom_Up_Calculations!$A:$A, "&gt;="&amp;M$82, Bottom_Up_Calculations!$A:$A, "&lt;"&amp;EDATE(M$82,12))</f>
        <v>249.82149660356615</v>
      </c>
      <c r="N84" s="93">
        <f>SUMIFS(Bottom_Up_Calculations!$H:$H, Bottom_Up_Calculations!$A:$A, "&gt;="&amp;N$82, Bottom_Up_Calculations!$A:$A, "&lt;"&amp;EDATE(N$82,12))</f>
        <v>448.64351505183038</v>
      </c>
      <c r="O84" s="93">
        <f>SUMIFS(Bottom_Up_Calculations!$H:$H, Bottom_Up_Calculations!$A:$A, "&gt;="&amp;O$82, Bottom_Up_Calculations!$A:$A, "&lt;"&amp;EDATE(O$82,12))</f>
        <v>805.69929463463438</v>
      </c>
      <c r="P84" s="93">
        <f>SUMIFS(Bottom_Up_Calculations!$H:$H, Bottom_Up_Calculations!$A:$A, "&gt;="&amp;P$82, Bottom_Up_Calculations!$A:$A, "&lt;"&amp;EDATE(P$82,12))</f>
        <v>1446.9201751411758</v>
      </c>
      <c r="R84" s="12"/>
      <c r="Z84" s="13"/>
    </row>
    <row r="85" spans="3:26" ht="15.75" hidden="1" outlineLevel="1" thickBot="1" x14ac:dyDescent="0.3">
      <c r="C85" s="94" t="str">
        <f>$L$73</f>
        <v>Premium</v>
      </c>
      <c r="D85" s="93"/>
      <c r="E85" s="93"/>
      <c r="F85" s="93"/>
      <c r="G85" s="93"/>
      <c r="H85" s="93">
        <f>SUMIFS(Bottom_Up_Calculations!$I:$I, Bottom_Up_Calculations!$A:$A, "&gt;="&amp;H$82, Bottom_Up_Calculations!$A:$A, "&lt;"&amp;EDATE(H$82,3))</f>
        <v>6.3049999999999997</v>
      </c>
      <c r="I85" s="93">
        <f>SUMIFS(Bottom_Up_Calculations!$I:$I, Bottom_Up_Calculations!$A:$A, "&gt;="&amp;I$82, Bottom_Up_Calculations!$A:$A, "&lt;"&amp;EDATE(I$82,3))</f>
        <v>7.298825625000001</v>
      </c>
      <c r="J85" s="93">
        <f>SUMIFS(Bottom_Up_Calculations!$I:$I, Bottom_Up_Calculations!$A:$A, "&gt;="&amp;J$82, Bottom_Up_Calculations!$A:$A, "&lt;"&amp;EDATE(J$82,3))</f>
        <v>8.4493030141406287</v>
      </c>
      <c r="K85" s="93">
        <f>SUMIFS(Bottom_Up_Calculations!$I:$I, Bottom_Up_Calculations!$A:$A, "&gt;="&amp;K$82, Bottom_Up_Calculations!$A:$A, "&lt;"&amp;EDATE(K$82,3))</f>
        <v>9.7811244017445453</v>
      </c>
      <c r="L85" s="61"/>
      <c r="M85" s="93">
        <f>SUMIFS(Bottom_Up_Calculations!$I:$I, Bottom_Up_Calculations!$A:$A, "&gt;="&amp;M$82, Bottom_Up_Calculations!$A:$A, "&lt;"&amp;EDATE(M$82,12))</f>
        <v>85.183887383641832</v>
      </c>
      <c r="N85" s="93">
        <f>SUMIFS(Bottom_Up_Calculations!$I:$I, Bottom_Up_Calculations!$A:$A, "&gt;="&amp;N$82, Bottom_Up_Calculations!$A:$A, "&lt;"&amp;EDATE(N$82,12))</f>
        <v>152.97802303306989</v>
      </c>
      <c r="O85" s="93">
        <f>SUMIFS(Bottom_Up_Calculations!$I:$I, Bottom_Up_Calculations!$A:$A, "&gt;="&amp;O$82, Bottom_Up_Calculations!$A:$A, "&lt;"&amp;EDATE(O$82,12))</f>
        <v>274.72655040629775</v>
      </c>
      <c r="P85" s="93">
        <f>SUMIFS(Bottom_Up_Calculations!$I:$I, Bottom_Up_Calculations!$A:$A, "&gt;="&amp;P$82, Bottom_Up_Calculations!$A:$A, "&lt;"&amp;EDATE(P$82,12))</f>
        <v>493.3694134733874</v>
      </c>
      <c r="R85" s="35"/>
      <c r="S85" s="36"/>
      <c r="T85" s="36"/>
      <c r="U85" s="36"/>
      <c r="V85" s="36"/>
      <c r="W85" s="36"/>
      <c r="X85" s="36"/>
      <c r="Y85" s="36"/>
      <c r="Z85" s="37"/>
    </row>
    <row r="86" spans="3:26" ht="15.75" hidden="1" outlineLevel="1" thickTop="1" x14ac:dyDescent="0.25">
      <c r="D86" s="50"/>
      <c r="E86" s="50"/>
      <c r="F86" s="50"/>
      <c r="G86" s="50"/>
      <c r="H86" s="50"/>
      <c r="I86" s="50"/>
      <c r="J86" s="50"/>
      <c r="K86" s="50"/>
      <c r="L86" s="50"/>
      <c r="M86" s="50"/>
      <c r="N86" s="50"/>
      <c r="O86" s="50"/>
      <c r="P86" s="50"/>
      <c r="R86" s="41"/>
      <c r="S86" s="42"/>
      <c r="T86" s="42"/>
      <c r="U86" s="42"/>
      <c r="V86" s="42"/>
      <c r="W86" s="42"/>
      <c r="X86" s="42"/>
      <c r="Y86" s="42"/>
      <c r="Z86" s="43"/>
    </row>
    <row r="87" spans="3:26" ht="18" hidden="1" outlineLevel="1" thickBot="1" x14ac:dyDescent="0.35">
      <c r="R87" s="12"/>
      <c r="S87" s="17" t="s">
        <v>48</v>
      </c>
      <c r="Z87" s="13"/>
    </row>
    <row r="88" spans="3:26" ht="20.25" hidden="1" outlineLevel="1" thickTop="1" x14ac:dyDescent="0.3">
      <c r="C88" s="54" t="s">
        <v>73</v>
      </c>
      <c r="J88" s="53" t="s">
        <v>69</v>
      </c>
      <c r="R88" s="12"/>
      <c r="Z88" s="13"/>
    </row>
    <row r="89" spans="3:26" ht="19.5" hidden="1" outlineLevel="1" x14ac:dyDescent="0.3">
      <c r="C89" s="55"/>
      <c r="D89" s="500" t="s">
        <v>74</v>
      </c>
      <c r="E89" s="500"/>
      <c r="F89" s="500"/>
      <c r="G89" s="500"/>
      <c r="H89" s="500"/>
      <c r="I89" s="500"/>
      <c r="J89" s="500"/>
      <c r="K89" s="500"/>
      <c r="L89" s="61"/>
      <c r="M89" s="499" t="s">
        <v>57</v>
      </c>
      <c r="N89" s="499"/>
      <c r="O89" s="499"/>
      <c r="P89" s="499"/>
      <c r="R89" s="12"/>
      <c r="S89" s="81"/>
      <c r="T89" s="499" t="s">
        <v>52</v>
      </c>
      <c r="U89" s="499"/>
      <c r="V89" s="499"/>
      <c r="W89" s="499"/>
      <c r="X89" s="499"/>
      <c r="Y89" s="499"/>
      <c r="Z89" s="13"/>
    </row>
    <row r="90" spans="3:26" hidden="1" outlineLevel="1" x14ac:dyDescent="0.25">
      <c r="C90" s="56"/>
      <c r="D90" s="500" t="s">
        <v>42</v>
      </c>
      <c r="E90" s="500"/>
      <c r="F90" s="500"/>
      <c r="G90" s="500"/>
      <c r="H90" s="500" t="s">
        <v>43</v>
      </c>
      <c r="I90" s="500"/>
      <c r="J90" s="500"/>
      <c r="K90" s="500"/>
      <c r="L90" s="61"/>
      <c r="M90" s="62" t="s">
        <v>44</v>
      </c>
      <c r="N90" s="62" t="s">
        <v>45</v>
      </c>
      <c r="O90" s="62" t="s">
        <v>46</v>
      </c>
      <c r="P90" s="62" t="s">
        <v>47</v>
      </c>
      <c r="R90" s="12"/>
      <c r="S90" s="81"/>
      <c r="T90" s="62" t="s">
        <v>42</v>
      </c>
      <c r="U90" s="62" t="s">
        <v>43</v>
      </c>
      <c r="V90" s="62" t="s">
        <v>44</v>
      </c>
      <c r="W90" s="62" t="s">
        <v>45</v>
      </c>
      <c r="X90" s="62" t="s">
        <v>46</v>
      </c>
      <c r="Y90" s="62" t="s">
        <v>47</v>
      </c>
      <c r="Z90" s="13"/>
    </row>
    <row r="91" spans="3:26" hidden="1" outlineLevel="1" x14ac:dyDescent="0.25">
      <c r="C91" s="76"/>
      <c r="D91" s="77">
        <f>StartDate</f>
        <v>46023</v>
      </c>
      <c r="E91" s="77">
        <f>EDATE(D91,3)</f>
        <v>46113</v>
      </c>
      <c r="F91" s="77">
        <f t="shared" ref="F91:K91" si="22">EDATE(E91,3)</f>
        <v>46204</v>
      </c>
      <c r="G91" s="77">
        <f t="shared" si="22"/>
        <v>46296</v>
      </c>
      <c r="H91" s="77">
        <f t="shared" si="22"/>
        <v>46388</v>
      </c>
      <c r="I91" s="77">
        <f t="shared" si="22"/>
        <v>46478</v>
      </c>
      <c r="J91" s="77">
        <f t="shared" si="22"/>
        <v>46569</v>
      </c>
      <c r="K91" s="77">
        <f t="shared" si="22"/>
        <v>46661</v>
      </c>
      <c r="L91" s="61"/>
      <c r="M91" s="77">
        <f>EDATE(K91,3)</f>
        <v>46753</v>
      </c>
      <c r="N91" s="77">
        <f t="shared" ref="N91:P91" si="23">EDATE(M91,12)</f>
        <v>47119</v>
      </c>
      <c r="O91" s="77">
        <f t="shared" si="23"/>
        <v>47484</v>
      </c>
      <c r="P91" s="77">
        <f t="shared" si="23"/>
        <v>47849</v>
      </c>
      <c r="R91" s="12"/>
      <c r="S91" s="81"/>
      <c r="T91" s="77">
        <f>D91</f>
        <v>46023</v>
      </c>
      <c r="U91" s="77">
        <f>H91</f>
        <v>46388</v>
      </c>
      <c r="V91" s="77">
        <f>M91</f>
        <v>46753</v>
      </c>
      <c r="W91" s="77">
        <f t="shared" ref="W91:Y91" si="24">EDATE(V91,12)</f>
        <v>47119</v>
      </c>
      <c r="X91" s="77">
        <f t="shared" si="24"/>
        <v>47484</v>
      </c>
      <c r="Y91" s="77">
        <f t="shared" si="24"/>
        <v>47849</v>
      </c>
      <c r="Z91" s="13"/>
    </row>
    <row r="92" spans="3:26" hidden="1" outlineLevel="1" x14ac:dyDescent="0.25">
      <c r="C92" s="94" t="str">
        <f>C83</f>
        <v>Free Tier</v>
      </c>
      <c r="D92" s="60">
        <f>$D$77*D83</f>
        <v>0</v>
      </c>
      <c r="E92" s="60">
        <f t="shared" ref="E92:K92" si="25">$D$77*E83</f>
        <v>0</v>
      </c>
      <c r="F92" s="60">
        <f t="shared" si="25"/>
        <v>0</v>
      </c>
      <c r="G92" s="60">
        <f t="shared" si="25"/>
        <v>0</v>
      </c>
      <c r="H92" s="60">
        <f t="shared" si="25"/>
        <v>0</v>
      </c>
      <c r="I92" s="60">
        <f t="shared" si="25"/>
        <v>0</v>
      </c>
      <c r="J92" s="60">
        <f t="shared" si="25"/>
        <v>0</v>
      </c>
      <c r="K92" s="60">
        <f t="shared" si="25"/>
        <v>0</v>
      </c>
      <c r="L92" s="61"/>
      <c r="M92" s="60">
        <f>$D$77*M83</f>
        <v>0</v>
      </c>
      <c r="N92" s="60">
        <f t="shared" ref="N92:P92" si="26">$D$77*N83</f>
        <v>0</v>
      </c>
      <c r="O92" s="60">
        <f t="shared" si="26"/>
        <v>0</v>
      </c>
      <c r="P92" s="60">
        <f t="shared" si="26"/>
        <v>0</v>
      </c>
      <c r="R92" s="12"/>
      <c r="S92" s="94" t="str">
        <f>C83</f>
        <v>Free Tier</v>
      </c>
      <c r="T92" s="60">
        <f>SUM(D92:G92)</f>
        <v>0</v>
      </c>
      <c r="U92" s="60">
        <f>SUM(H92:K92)</f>
        <v>0</v>
      </c>
      <c r="V92" s="60">
        <f>M92</f>
        <v>0</v>
      </c>
      <c r="W92" s="60">
        <f t="shared" ref="W92:Y94" si="27">N92</f>
        <v>0</v>
      </c>
      <c r="X92" s="60">
        <f t="shared" si="27"/>
        <v>0</v>
      </c>
      <c r="Y92" s="60">
        <f t="shared" si="27"/>
        <v>0</v>
      </c>
      <c r="Z92" s="13"/>
    </row>
    <row r="93" spans="3:26" hidden="1" outlineLevel="1" x14ac:dyDescent="0.25">
      <c r="C93" s="94" t="str">
        <f t="shared" ref="C93:C94" si="28">C84</f>
        <v>Professional</v>
      </c>
      <c r="D93" s="60">
        <f>$H$77*D84</f>
        <v>0</v>
      </c>
      <c r="E93" s="60">
        <f t="shared" ref="E93:K93" si="29">$H$77*E84</f>
        <v>0</v>
      </c>
      <c r="F93" s="60">
        <f t="shared" si="29"/>
        <v>0</v>
      </c>
      <c r="G93" s="60">
        <f t="shared" si="29"/>
        <v>0</v>
      </c>
      <c r="H93" s="60">
        <f t="shared" si="29"/>
        <v>28732.830749999997</v>
      </c>
      <c r="I93" s="60">
        <f t="shared" si="29"/>
        <v>33261.843196968752</v>
      </c>
      <c r="J93" s="60">
        <f t="shared" si="29"/>
        <v>38504.741230890962</v>
      </c>
      <c r="K93" s="60">
        <f t="shared" si="29"/>
        <v>44574.051067410161</v>
      </c>
      <c r="L93" s="61"/>
      <c r="M93" s="60">
        <f>$H$77*M84</f>
        <v>379491.34441564715</v>
      </c>
      <c r="N93" s="60">
        <f t="shared" ref="N93:P93" si="30">$H$77*N84</f>
        <v>681511.9315394829</v>
      </c>
      <c r="O93" s="60">
        <f t="shared" si="30"/>
        <v>1223897.5135147413</v>
      </c>
      <c r="P93" s="60">
        <f t="shared" si="30"/>
        <v>2197944.0920482031</v>
      </c>
      <c r="R93" s="12"/>
      <c r="S93" s="94" t="str">
        <f t="shared" ref="S93:S94" si="31">C84</f>
        <v>Professional</v>
      </c>
      <c r="T93" s="60">
        <f>SUM(D93:G93)</f>
        <v>0</v>
      </c>
      <c r="U93" s="60">
        <f>SUM(H93:K93)</f>
        <v>145073.46624526987</v>
      </c>
      <c r="V93" s="60">
        <f>M93</f>
        <v>379491.34441564715</v>
      </c>
      <c r="W93" s="60">
        <f t="shared" si="27"/>
        <v>681511.9315394829</v>
      </c>
      <c r="X93" s="60">
        <f t="shared" si="27"/>
        <v>1223897.5135147413</v>
      </c>
      <c r="Y93" s="60">
        <f t="shared" si="27"/>
        <v>2197944.0920482031</v>
      </c>
      <c r="Z93" s="13"/>
    </row>
    <row r="94" spans="3:26" ht="15.75" hidden="1" outlineLevel="1" thickBot="1" x14ac:dyDescent="0.3">
      <c r="C94" s="96" t="str">
        <f t="shared" si="28"/>
        <v>Premium</v>
      </c>
      <c r="D94" s="97">
        <f>$L$77*D85</f>
        <v>0</v>
      </c>
      <c r="E94" s="97">
        <f t="shared" ref="E94:K94" si="32">$L$77*E85</f>
        <v>0</v>
      </c>
      <c r="F94" s="97">
        <f t="shared" si="32"/>
        <v>0</v>
      </c>
      <c r="G94" s="97">
        <f t="shared" si="32"/>
        <v>0</v>
      </c>
      <c r="H94" s="97">
        <f t="shared" si="32"/>
        <v>14968.385249999998</v>
      </c>
      <c r="I94" s="97">
        <f t="shared" si="32"/>
        <v>17327.776975031251</v>
      </c>
      <c r="J94" s="97">
        <f t="shared" si="32"/>
        <v>20059.067820720556</v>
      </c>
      <c r="K94" s="97">
        <f t="shared" si="32"/>
        <v>23220.878385961634</v>
      </c>
      <c r="L94" s="61"/>
      <c r="M94" s="97">
        <f>$L$77*M85</f>
        <v>202230.80784313485</v>
      </c>
      <c r="N94" s="97">
        <f t="shared" ref="N94:P94" si="33">$L$77*N85</f>
        <v>363177.47558165953</v>
      </c>
      <c r="O94" s="97">
        <f t="shared" si="33"/>
        <v>652214.56699207111</v>
      </c>
      <c r="P94" s="97">
        <f t="shared" si="33"/>
        <v>1171283.6560564952</v>
      </c>
      <c r="R94" s="12"/>
      <c r="S94" s="96" t="str">
        <f t="shared" si="31"/>
        <v>Premium</v>
      </c>
      <c r="T94" s="97">
        <f>SUM(D94:G94)</f>
        <v>0</v>
      </c>
      <c r="U94" s="97">
        <f>SUM(H94:K94)</f>
        <v>75576.108431713437</v>
      </c>
      <c r="V94" s="97">
        <f>M94</f>
        <v>202230.80784313485</v>
      </c>
      <c r="W94" s="97">
        <f t="shared" si="27"/>
        <v>363177.47558165953</v>
      </c>
      <c r="X94" s="97">
        <f t="shared" si="27"/>
        <v>652214.56699207111</v>
      </c>
      <c r="Y94" s="97">
        <f t="shared" si="27"/>
        <v>1171283.6560564952</v>
      </c>
      <c r="Z94" s="13"/>
    </row>
    <row r="95" spans="3:26" ht="15.75" hidden="1" outlineLevel="1" thickBot="1" x14ac:dyDescent="0.3">
      <c r="C95" s="98" t="s">
        <v>58</v>
      </c>
      <c r="D95" s="99">
        <f t="shared" ref="D95:K95" si="34">SUM(D92:D94)</f>
        <v>0</v>
      </c>
      <c r="E95" s="99">
        <f t="shared" si="34"/>
        <v>0</v>
      </c>
      <c r="F95" s="99">
        <f t="shared" si="34"/>
        <v>0</v>
      </c>
      <c r="G95" s="99">
        <f t="shared" si="34"/>
        <v>0</v>
      </c>
      <c r="H95" s="99">
        <f t="shared" si="34"/>
        <v>43701.215999999993</v>
      </c>
      <c r="I95" s="99">
        <f t="shared" si="34"/>
        <v>50589.620172000003</v>
      </c>
      <c r="J95" s="99">
        <f t="shared" si="34"/>
        <v>58563.809051611519</v>
      </c>
      <c r="K95" s="100">
        <f t="shared" si="34"/>
        <v>67794.929453371791</v>
      </c>
      <c r="L95" s="61"/>
      <c r="M95" s="101">
        <f>SUM(M92:M94)</f>
        <v>581722.15225878195</v>
      </c>
      <c r="N95" s="99">
        <f>SUM(N92:N94)</f>
        <v>1044689.4071211424</v>
      </c>
      <c r="O95" s="99">
        <f>SUM(O92:O94)</f>
        <v>1876112.0805068123</v>
      </c>
      <c r="P95" s="100">
        <f>SUM(P92:P94)</f>
        <v>3369227.748104698</v>
      </c>
      <c r="R95" s="12"/>
      <c r="S95" s="103" t="s">
        <v>75</v>
      </c>
      <c r="T95" s="99">
        <f t="shared" ref="T95:Y95" si="35">SUM(T92:T94)</f>
        <v>0</v>
      </c>
      <c r="U95" s="99">
        <f t="shared" si="35"/>
        <v>220649.57467698329</v>
      </c>
      <c r="V95" s="99">
        <f t="shared" si="35"/>
        <v>581722.15225878195</v>
      </c>
      <c r="W95" s="99">
        <f t="shared" si="35"/>
        <v>1044689.4071211424</v>
      </c>
      <c r="X95" s="99">
        <f t="shared" si="35"/>
        <v>1876112.0805068123</v>
      </c>
      <c r="Y95" s="100">
        <f t="shared" si="35"/>
        <v>3369227.748104698</v>
      </c>
      <c r="Z95" s="13"/>
    </row>
    <row r="96" spans="3:26" hidden="1" outlineLevel="1" x14ac:dyDescent="0.25">
      <c r="H96" s="84"/>
      <c r="I96" s="84"/>
      <c r="J96" s="84"/>
      <c r="K96" s="84"/>
      <c r="L96" s="84"/>
      <c r="M96" s="84"/>
      <c r="N96" s="84"/>
      <c r="O96" s="84"/>
      <c r="P96" s="84"/>
      <c r="R96" s="12"/>
      <c r="Z96" s="13"/>
    </row>
    <row r="97" spans="8:26" hidden="1" outlineLevel="1" x14ac:dyDescent="0.25">
      <c r="H97" s="85"/>
      <c r="I97" s="85"/>
      <c r="J97" s="85"/>
      <c r="K97" s="85"/>
      <c r="L97" s="85"/>
      <c r="M97" s="85"/>
      <c r="N97" s="85"/>
      <c r="O97" s="85"/>
      <c r="P97" s="85"/>
      <c r="R97" s="12"/>
      <c r="Z97" s="13"/>
    </row>
    <row r="98" spans="8:26" hidden="1" outlineLevel="1" x14ac:dyDescent="0.25">
      <c r="K98" s="85"/>
      <c r="L98" s="85"/>
      <c r="M98" s="85"/>
      <c r="N98" s="85"/>
      <c r="O98" s="85"/>
      <c r="P98" s="85"/>
      <c r="R98" s="12"/>
      <c r="Z98" s="13"/>
    </row>
    <row r="99" spans="8:26" hidden="1" outlineLevel="1" x14ac:dyDescent="0.25">
      <c r="K99" s="85"/>
      <c r="L99" s="85"/>
      <c r="M99" s="86"/>
      <c r="N99" s="86"/>
      <c r="O99" s="86"/>
      <c r="P99" s="86"/>
      <c r="R99" s="12"/>
      <c r="Z99" s="13"/>
    </row>
    <row r="100" spans="8:26" hidden="1" outlineLevel="1" x14ac:dyDescent="0.25">
      <c r="H100" s="87"/>
      <c r="K100" s="53"/>
      <c r="L100" s="53"/>
      <c r="O100" s="85"/>
      <c r="P100" s="85"/>
      <c r="R100" s="12"/>
      <c r="Z100" s="13"/>
    </row>
    <row r="101" spans="8:26" hidden="1" outlineLevel="1" x14ac:dyDescent="0.25">
      <c r="O101" s="85"/>
      <c r="P101" s="85"/>
      <c r="R101" s="12"/>
      <c r="Z101" s="13"/>
    </row>
    <row r="102" spans="8:26" hidden="1" outlineLevel="1" x14ac:dyDescent="0.25">
      <c r="O102" s="85"/>
      <c r="P102" s="85"/>
      <c r="R102" s="12"/>
      <c r="Z102" s="13"/>
    </row>
    <row r="103" spans="8:26" hidden="1" outlineLevel="1" x14ac:dyDescent="0.25">
      <c r="O103" s="85"/>
      <c r="P103" s="85"/>
      <c r="R103" s="12"/>
      <c r="Z103" s="13"/>
    </row>
    <row r="104" spans="8:26" hidden="1" outlineLevel="1" x14ac:dyDescent="0.25">
      <c r="O104" s="85"/>
      <c r="P104" s="85"/>
      <c r="R104" s="12"/>
      <c r="Z104" s="13"/>
    </row>
    <row r="105" spans="8:26" hidden="1" outlineLevel="1" x14ac:dyDescent="0.25">
      <c r="O105" s="85"/>
      <c r="P105" s="85"/>
      <c r="R105" s="12"/>
      <c r="Z105" s="13"/>
    </row>
    <row r="106" spans="8:26" hidden="1" outlineLevel="1" x14ac:dyDescent="0.25">
      <c r="O106" s="85"/>
      <c r="P106" s="85"/>
      <c r="R106" s="12"/>
      <c r="Z106" s="13"/>
    </row>
    <row r="107" spans="8:26" hidden="1" outlineLevel="1" x14ac:dyDescent="0.25">
      <c r="R107" s="12"/>
      <c r="Z107" s="13"/>
    </row>
    <row r="108" spans="8:26" hidden="1" outlineLevel="1" x14ac:dyDescent="0.25">
      <c r="R108" s="12"/>
      <c r="Z108" s="13"/>
    </row>
    <row r="109" spans="8:26" hidden="1" outlineLevel="1" x14ac:dyDescent="0.25">
      <c r="R109" s="12"/>
      <c r="Z109" s="13"/>
    </row>
    <row r="110" spans="8:26" hidden="1" outlineLevel="1" x14ac:dyDescent="0.25">
      <c r="R110" s="12"/>
      <c r="Z110" s="13"/>
    </row>
    <row r="111" spans="8:26" hidden="1" outlineLevel="1" x14ac:dyDescent="0.25">
      <c r="R111" s="12"/>
      <c r="Z111" s="13"/>
    </row>
    <row r="112" spans="8:26" hidden="1" outlineLevel="1" x14ac:dyDescent="0.25">
      <c r="R112" s="12"/>
      <c r="Z112" s="13"/>
    </row>
    <row r="113" spans="2:26" hidden="1" outlineLevel="1" x14ac:dyDescent="0.25">
      <c r="R113" s="12"/>
      <c r="Z113" s="13"/>
    </row>
    <row r="114" spans="2:26" hidden="1" outlineLevel="1" x14ac:dyDescent="0.25">
      <c r="R114" s="12"/>
      <c r="Z114" s="13"/>
    </row>
    <row r="115" spans="2:26" ht="15.75" hidden="1" outlineLevel="1" thickBot="1" x14ac:dyDescent="0.3">
      <c r="R115" s="35"/>
      <c r="S115" s="36"/>
      <c r="T115" s="36"/>
      <c r="U115" s="36"/>
      <c r="V115" s="36"/>
      <c r="W115" s="36"/>
      <c r="X115" s="36"/>
      <c r="Y115" s="36"/>
      <c r="Z115" s="37"/>
    </row>
    <row r="116" spans="2:26" ht="15.75" hidden="1" outlineLevel="1" thickTop="1" x14ac:dyDescent="0.25"/>
    <row r="117" spans="2:26" ht="19.5" collapsed="1" x14ac:dyDescent="0.3">
      <c r="B117" s="361" t="s">
        <v>76</v>
      </c>
      <c r="C117" s="517"/>
      <c r="D117" s="517"/>
    </row>
    <row r="118" spans="2:26" ht="25.5" hidden="1" outlineLevel="1" thickTop="1" thickBot="1" x14ac:dyDescent="0.45">
      <c r="C118" s="3" t="s">
        <v>77</v>
      </c>
      <c r="D118" s="4"/>
      <c r="E118" s="4"/>
      <c r="F118" s="4"/>
      <c r="G118" s="4"/>
      <c r="H118" s="4"/>
      <c r="I118" s="4"/>
      <c r="J118" s="4"/>
      <c r="K118" s="4"/>
      <c r="L118" s="4"/>
      <c r="M118" s="4"/>
      <c r="N118" s="4"/>
      <c r="O118" s="4"/>
      <c r="P118" s="4"/>
      <c r="R118" s="5"/>
      <c r="S118" s="6" t="str">
        <f>CompanyName &amp;" Revenue Forecast"</f>
        <v>Sustainsphere Revenue Forecast</v>
      </c>
      <c r="T118" s="7"/>
      <c r="U118" s="7"/>
      <c r="V118" s="7"/>
      <c r="W118" s="7"/>
      <c r="X118" s="7"/>
      <c r="Y118" s="7"/>
      <c r="Z118" s="8"/>
    </row>
    <row r="119" spans="2:26" ht="15.75" hidden="1" outlineLevel="1" thickTop="1" x14ac:dyDescent="0.25">
      <c r="C119" s="9" t="str">
        <f>"Revenues ("&amp;SubHeader&amp;")"</f>
        <v>Revenues (EUR)</v>
      </c>
      <c r="E119" s="11"/>
      <c r="F119" s="11"/>
      <c r="R119" s="12"/>
      <c r="Z119" s="13"/>
    </row>
    <row r="120" spans="2:26" ht="18" hidden="1" outlineLevel="1" thickBot="1" x14ac:dyDescent="0.35">
      <c r="D120" s="14"/>
      <c r="E120" s="15"/>
      <c r="F120" s="15"/>
      <c r="G120" s="15"/>
      <c r="H120" s="15"/>
      <c r="I120" s="15"/>
      <c r="J120" s="16"/>
      <c r="K120" s="16"/>
      <c r="L120" s="16"/>
      <c r="M120" s="16"/>
      <c r="N120" s="16"/>
      <c r="O120" s="16"/>
      <c r="P120" s="16"/>
      <c r="R120" s="12"/>
      <c r="S120" s="17" t="s">
        <v>24</v>
      </c>
      <c r="Z120" s="13"/>
    </row>
    <row r="121" spans="2:26" ht="20.25" hidden="1" outlineLevel="1" thickTop="1" x14ac:dyDescent="0.3">
      <c r="C121" s="2" t="s">
        <v>78</v>
      </c>
      <c r="D121" s="14"/>
      <c r="E121" s="15"/>
      <c r="F121" s="15"/>
      <c r="G121" s="15"/>
      <c r="H121" s="15"/>
      <c r="I121" s="15"/>
      <c r="J121" s="16"/>
      <c r="K121" s="16"/>
      <c r="L121" s="16"/>
      <c r="M121" s="16"/>
      <c r="N121" s="16"/>
      <c r="O121" s="16"/>
      <c r="P121" s="16"/>
      <c r="R121" s="12"/>
      <c r="Z121" s="13"/>
    </row>
    <row r="122" spans="2:26" ht="15.75" hidden="1" outlineLevel="1" x14ac:dyDescent="0.25">
      <c r="C122" s="81" t="s">
        <v>21</v>
      </c>
      <c r="D122" s="107" t="s">
        <v>79</v>
      </c>
      <c r="E122" s="15"/>
      <c r="F122" s="15"/>
      <c r="G122" s="15"/>
      <c r="H122" s="15"/>
      <c r="I122" s="15"/>
      <c r="J122" s="16"/>
      <c r="K122" s="16"/>
      <c r="L122" s="16"/>
      <c r="M122" s="16"/>
      <c r="N122" s="16"/>
      <c r="O122" s="16"/>
      <c r="P122" s="16"/>
      <c r="R122" s="19"/>
      <c r="S122" s="18"/>
      <c r="T122" s="18"/>
      <c r="U122" s="18"/>
      <c r="V122" s="18"/>
      <c r="W122" s="18"/>
      <c r="X122" s="18"/>
      <c r="Y122" s="18"/>
      <c r="Z122" s="20"/>
    </row>
    <row r="123" spans="2:26" hidden="1" outlineLevel="1" x14ac:dyDescent="0.25">
      <c r="D123" s="14"/>
      <c r="E123" s="15"/>
      <c r="F123" s="15"/>
      <c r="G123" s="15"/>
      <c r="H123" s="15"/>
      <c r="I123" s="15"/>
      <c r="J123" s="16"/>
      <c r="K123" s="16"/>
      <c r="L123" s="16"/>
      <c r="M123" s="16"/>
      <c r="N123" s="16"/>
      <c r="O123" s="16"/>
      <c r="P123" s="16"/>
      <c r="R123" s="12"/>
      <c r="Z123" s="13"/>
    </row>
    <row r="124" spans="2:26" ht="27.75" hidden="1" customHeight="1" outlineLevel="1" x14ac:dyDescent="0.25">
      <c r="C124" s="501" t="s">
        <v>80</v>
      </c>
      <c r="D124" s="502"/>
      <c r="E124" s="15"/>
      <c r="F124" s="15"/>
      <c r="G124" s="15"/>
      <c r="H124" s="15"/>
      <c r="I124" s="15"/>
      <c r="J124" s="16"/>
      <c r="K124" s="16"/>
      <c r="L124" s="16"/>
      <c r="M124" s="16"/>
      <c r="N124" s="16"/>
      <c r="O124" s="16"/>
      <c r="P124" s="16"/>
      <c r="R124" s="12"/>
      <c r="Z124" s="13"/>
    </row>
    <row r="125" spans="2:26" hidden="1" outlineLevel="1" x14ac:dyDescent="0.25">
      <c r="D125" s="25" t="s">
        <v>81</v>
      </c>
      <c r="E125" s="15"/>
      <c r="F125" s="108"/>
      <c r="G125" s="15"/>
      <c r="H125" s="15"/>
      <c r="I125" s="15"/>
      <c r="J125" s="16"/>
      <c r="K125" s="16"/>
      <c r="L125" s="16"/>
      <c r="M125" s="16"/>
      <c r="N125" s="16"/>
      <c r="O125" s="16"/>
      <c r="P125" s="16"/>
      <c r="R125" s="12"/>
      <c r="Z125" s="13"/>
    </row>
    <row r="126" spans="2:26" hidden="1" outlineLevel="1" x14ac:dyDescent="0.25">
      <c r="D126" s="81" t="s">
        <v>79</v>
      </c>
      <c r="E126" s="15"/>
      <c r="F126" s="15"/>
      <c r="G126" s="15"/>
      <c r="H126" s="15"/>
      <c r="I126" s="15"/>
      <c r="J126" s="16"/>
      <c r="K126" s="16"/>
      <c r="L126" s="16"/>
      <c r="M126" s="16"/>
      <c r="N126" s="16"/>
      <c r="O126" s="16"/>
      <c r="P126" s="16"/>
      <c r="R126" s="12"/>
      <c r="Z126" s="13"/>
    </row>
    <row r="127" spans="2:26" hidden="1" outlineLevel="1" x14ac:dyDescent="0.25">
      <c r="D127" s="14"/>
      <c r="E127" s="15"/>
      <c r="F127" s="15"/>
      <c r="G127" s="15"/>
      <c r="H127" s="15"/>
      <c r="I127" s="15"/>
      <c r="J127" s="16"/>
      <c r="K127" s="16"/>
      <c r="L127" s="16"/>
      <c r="M127" s="16"/>
      <c r="N127" s="16"/>
      <c r="O127" s="16"/>
      <c r="P127" s="16"/>
      <c r="R127" s="12"/>
      <c r="Z127" s="13"/>
    </row>
    <row r="128" spans="2:26" hidden="1" outlineLevel="1" x14ac:dyDescent="0.25">
      <c r="D128" s="14"/>
      <c r="E128" s="15"/>
      <c r="F128" s="15"/>
      <c r="G128" s="15"/>
      <c r="H128" s="15"/>
      <c r="I128" s="15"/>
      <c r="J128" s="16"/>
      <c r="K128" s="16"/>
      <c r="L128" s="16"/>
      <c r="M128" s="16"/>
      <c r="N128" s="16"/>
      <c r="O128" s="16"/>
      <c r="P128" s="16"/>
      <c r="R128" s="12"/>
      <c r="Z128" s="13"/>
    </row>
    <row r="129" spans="3:26" ht="19.5" hidden="1" outlineLevel="1" x14ac:dyDescent="0.3">
      <c r="C129" s="54" t="s">
        <v>82</v>
      </c>
      <c r="R129" s="12"/>
      <c r="Z129" s="13"/>
    </row>
    <row r="130" spans="3:26" ht="19.5" hidden="1" outlineLevel="1" x14ac:dyDescent="0.3">
      <c r="C130" s="55"/>
      <c r="D130" s="500" t="s">
        <v>56</v>
      </c>
      <c r="E130" s="500"/>
      <c r="F130" s="500"/>
      <c r="G130" s="500"/>
      <c r="H130" s="500"/>
      <c r="I130" s="500"/>
      <c r="J130" s="500"/>
      <c r="K130" s="500"/>
      <c r="L130" s="61"/>
      <c r="M130" s="499" t="s">
        <v>57</v>
      </c>
      <c r="N130" s="499"/>
      <c r="O130" s="499"/>
      <c r="P130" s="499"/>
      <c r="R130" s="12"/>
      <c r="Z130" s="13"/>
    </row>
    <row r="131" spans="3:26" hidden="1" outlineLevel="1" x14ac:dyDescent="0.25">
      <c r="C131" s="56"/>
      <c r="D131" s="500" t="s">
        <v>42</v>
      </c>
      <c r="E131" s="500"/>
      <c r="F131" s="500"/>
      <c r="G131" s="500"/>
      <c r="H131" s="500" t="s">
        <v>43</v>
      </c>
      <c r="I131" s="500"/>
      <c r="J131" s="500"/>
      <c r="K131" s="500"/>
      <c r="L131" s="61"/>
      <c r="M131" s="62" t="s">
        <v>44</v>
      </c>
      <c r="N131" s="62" t="s">
        <v>45</v>
      </c>
      <c r="O131" s="62" t="s">
        <v>46</v>
      </c>
      <c r="P131" s="62" t="s">
        <v>47</v>
      </c>
      <c r="R131" s="12"/>
      <c r="Z131" s="13"/>
    </row>
    <row r="132" spans="3:26" hidden="1" outlineLevel="1" x14ac:dyDescent="0.25">
      <c r="C132" s="76"/>
      <c r="D132" s="77">
        <f>StartDate</f>
        <v>46023</v>
      </c>
      <c r="E132" s="77">
        <f>EDATE(D132,3)</f>
        <v>46113</v>
      </c>
      <c r="F132" s="77">
        <f t="shared" ref="F132:K132" si="36">EDATE(E132,3)</f>
        <v>46204</v>
      </c>
      <c r="G132" s="77">
        <f t="shared" si="36"/>
        <v>46296</v>
      </c>
      <c r="H132" s="77">
        <f t="shared" si="36"/>
        <v>46388</v>
      </c>
      <c r="I132" s="77">
        <f t="shared" si="36"/>
        <v>46478</v>
      </c>
      <c r="J132" s="77">
        <f t="shared" si="36"/>
        <v>46569</v>
      </c>
      <c r="K132" s="77">
        <f t="shared" si="36"/>
        <v>46661</v>
      </c>
      <c r="L132" s="61"/>
      <c r="M132" s="77">
        <f>EDATE(K132,3)</f>
        <v>46753</v>
      </c>
      <c r="N132" s="77">
        <f t="shared" ref="N132:P132" si="37">EDATE(M132,12)</f>
        <v>47119</v>
      </c>
      <c r="O132" s="77">
        <f t="shared" si="37"/>
        <v>47484</v>
      </c>
      <c r="P132" s="77">
        <f t="shared" si="37"/>
        <v>47849</v>
      </c>
      <c r="R132" s="12"/>
      <c r="Z132" s="13"/>
    </row>
    <row r="133" spans="3:26" hidden="1" outlineLevel="1" x14ac:dyDescent="0.25">
      <c r="C133" s="59" t="str">
        <f t="shared" ref="C133:K133" si="38">IF($D$122="Bottom-up",C92,C62)</f>
        <v>Free Tier</v>
      </c>
      <c r="D133" s="60">
        <f t="shared" si="38"/>
        <v>0</v>
      </c>
      <c r="E133" s="60">
        <f t="shared" si="38"/>
        <v>0</v>
      </c>
      <c r="F133" s="60">
        <f t="shared" si="38"/>
        <v>0</v>
      </c>
      <c r="G133" s="60">
        <f t="shared" si="38"/>
        <v>0</v>
      </c>
      <c r="H133" s="60">
        <f t="shared" si="38"/>
        <v>0</v>
      </c>
      <c r="I133" s="60">
        <f t="shared" si="38"/>
        <v>0</v>
      </c>
      <c r="J133" s="60">
        <f t="shared" si="38"/>
        <v>0</v>
      </c>
      <c r="K133" s="60">
        <f t="shared" si="38"/>
        <v>0</v>
      </c>
      <c r="L133" s="61"/>
      <c r="M133" s="109">
        <f t="shared" ref="M133:P135" si="39">IF($D$122="Bottom-up",M92,M62)</f>
        <v>0</v>
      </c>
      <c r="N133" s="109">
        <f t="shared" si="39"/>
        <v>0</v>
      </c>
      <c r="O133" s="109">
        <f t="shared" si="39"/>
        <v>0</v>
      </c>
      <c r="P133" s="109">
        <f t="shared" si="39"/>
        <v>0</v>
      </c>
      <c r="R133" s="12"/>
      <c r="Z133" s="13"/>
    </row>
    <row r="134" spans="3:26" hidden="1" outlineLevel="1" x14ac:dyDescent="0.25">
      <c r="C134" s="59" t="str">
        <f t="shared" ref="C134:K134" si="40">IF($D$122="Bottom-up",C93,C63)</f>
        <v>Professional</v>
      </c>
      <c r="D134" s="60">
        <f t="shared" si="40"/>
        <v>0</v>
      </c>
      <c r="E134" s="60">
        <f t="shared" si="40"/>
        <v>0</v>
      </c>
      <c r="F134" s="60">
        <f t="shared" si="40"/>
        <v>0</v>
      </c>
      <c r="G134" s="60">
        <f t="shared" si="40"/>
        <v>0</v>
      </c>
      <c r="H134" s="60">
        <f t="shared" si="40"/>
        <v>28732.830749999997</v>
      </c>
      <c r="I134" s="60">
        <f t="shared" si="40"/>
        <v>33261.843196968752</v>
      </c>
      <c r="J134" s="60">
        <f t="shared" si="40"/>
        <v>38504.741230890962</v>
      </c>
      <c r="K134" s="60">
        <f t="shared" si="40"/>
        <v>44574.051067410161</v>
      </c>
      <c r="L134" s="61"/>
      <c r="M134" s="109">
        <f t="shared" si="39"/>
        <v>379491.34441564715</v>
      </c>
      <c r="N134" s="109">
        <f t="shared" si="39"/>
        <v>681511.9315394829</v>
      </c>
      <c r="O134" s="109">
        <f t="shared" si="39"/>
        <v>1223897.5135147413</v>
      </c>
      <c r="P134" s="109">
        <f t="shared" si="39"/>
        <v>2197944.0920482031</v>
      </c>
      <c r="R134" s="12"/>
      <c r="Z134" s="13"/>
    </row>
    <row r="135" spans="3:26" ht="15.75" hidden="1" outlineLevel="1" thickBot="1" x14ac:dyDescent="0.3">
      <c r="C135" s="111" t="str">
        <f t="shared" ref="C135:K135" si="41">IF($D$122="Bottom-up",C94,C64)</f>
        <v>Premium</v>
      </c>
      <c r="D135" s="60">
        <f t="shared" si="41"/>
        <v>0</v>
      </c>
      <c r="E135" s="60">
        <f t="shared" si="41"/>
        <v>0</v>
      </c>
      <c r="F135" s="60">
        <f t="shared" si="41"/>
        <v>0</v>
      </c>
      <c r="G135" s="60">
        <f t="shared" si="41"/>
        <v>0</v>
      </c>
      <c r="H135" s="60">
        <f t="shared" si="41"/>
        <v>14968.385249999998</v>
      </c>
      <c r="I135" s="60">
        <f t="shared" si="41"/>
        <v>17327.776975031251</v>
      </c>
      <c r="J135" s="60">
        <f t="shared" si="41"/>
        <v>20059.067820720556</v>
      </c>
      <c r="K135" s="60">
        <f t="shared" si="41"/>
        <v>23220.878385961634</v>
      </c>
      <c r="L135" s="61"/>
      <c r="M135" s="112">
        <f t="shared" si="39"/>
        <v>202230.80784313485</v>
      </c>
      <c r="N135" s="112">
        <f t="shared" si="39"/>
        <v>363177.47558165953</v>
      </c>
      <c r="O135" s="112">
        <f t="shared" si="39"/>
        <v>652214.56699207111</v>
      </c>
      <c r="P135" s="112">
        <f t="shared" si="39"/>
        <v>1171283.6560564952</v>
      </c>
      <c r="R135" s="12"/>
      <c r="Z135" s="13"/>
    </row>
    <row r="136" spans="3:26" ht="15.75" hidden="1" outlineLevel="1" thickBot="1" x14ac:dyDescent="0.3">
      <c r="C136" s="113" t="str">
        <f>IF($D$122="Bottom-up",C95,C65)</f>
        <v xml:space="preserve">Total </v>
      </c>
      <c r="D136" s="114">
        <f>SUM(D133:D135)</f>
        <v>0</v>
      </c>
      <c r="E136" s="114">
        <f t="shared" ref="E136:P136" si="42">SUM(E133:E135)</f>
        <v>0</v>
      </c>
      <c r="F136" s="114">
        <f t="shared" si="42"/>
        <v>0</v>
      </c>
      <c r="G136" s="114">
        <f t="shared" si="42"/>
        <v>0</v>
      </c>
      <c r="H136" s="114">
        <f t="shared" si="42"/>
        <v>43701.215999999993</v>
      </c>
      <c r="I136" s="114">
        <f t="shared" si="42"/>
        <v>50589.620172000003</v>
      </c>
      <c r="J136" s="114">
        <f t="shared" si="42"/>
        <v>58563.809051611519</v>
      </c>
      <c r="K136" s="115">
        <f t="shared" si="42"/>
        <v>67794.929453371791</v>
      </c>
      <c r="L136" s="61"/>
      <c r="M136" s="116">
        <f t="shared" si="42"/>
        <v>581722.15225878195</v>
      </c>
      <c r="N136" s="114">
        <f t="shared" si="42"/>
        <v>1044689.4071211424</v>
      </c>
      <c r="O136" s="114">
        <f t="shared" si="42"/>
        <v>1876112.0805068123</v>
      </c>
      <c r="P136" s="115">
        <f t="shared" si="42"/>
        <v>3369227.748104698</v>
      </c>
      <c r="R136" s="12"/>
      <c r="Z136" s="13"/>
    </row>
    <row r="137" spans="3:26" ht="15.75" hidden="1" outlineLevel="1" thickBot="1" x14ac:dyDescent="0.3">
      <c r="D137" s="14"/>
      <c r="E137" s="15"/>
      <c r="F137" s="15"/>
      <c r="G137" s="15"/>
      <c r="H137" s="15"/>
      <c r="I137" s="15"/>
      <c r="J137" s="16"/>
      <c r="K137" s="16"/>
      <c r="L137" s="16"/>
      <c r="M137" s="16"/>
      <c r="N137" s="16"/>
      <c r="O137" s="16"/>
      <c r="P137" s="16"/>
      <c r="R137" s="35"/>
      <c r="S137" s="36"/>
      <c r="T137" s="36"/>
      <c r="U137" s="36"/>
      <c r="V137" s="36"/>
      <c r="W137" s="36"/>
      <c r="X137" s="36"/>
      <c r="Y137" s="36"/>
      <c r="Z137" s="37"/>
    </row>
    <row r="138" spans="3:26" ht="15.75" hidden="1" outlineLevel="1" thickTop="1" x14ac:dyDescent="0.25">
      <c r="D138" s="14"/>
      <c r="E138" s="15"/>
      <c r="F138" s="15"/>
      <c r="G138" s="15"/>
      <c r="H138" s="15"/>
      <c r="I138" s="15"/>
      <c r="J138" s="16"/>
      <c r="K138" s="16"/>
      <c r="L138" s="16"/>
      <c r="M138" s="16"/>
      <c r="N138" s="16"/>
      <c r="O138" s="16"/>
      <c r="P138" s="16"/>
      <c r="R138" s="41"/>
      <c r="S138" s="42"/>
      <c r="T138" s="42"/>
      <c r="U138" s="42"/>
      <c r="V138" s="42"/>
      <c r="W138" s="42"/>
      <c r="X138" s="42"/>
      <c r="Y138" s="42"/>
      <c r="Z138" s="43"/>
    </row>
    <row r="139" spans="3:26" ht="18" hidden="1" outlineLevel="1" thickBot="1" x14ac:dyDescent="0.35">
      <c r="C139" s="106" t="s">
        <v>83</v>
      </c>
      <c r="R139" s="12"/>
      <c r="S139" s="17" t="s">
        <v>48</v>
      </c>
      <c r="Z139" s="13"/>
    </row>
    <row r="140" spans="3:26" ht="20.25" hidden="1" outlineLevel="1" thickTop="1" x14ac:dyDescent="0.3">
      <c r="C140" s="55"/>
      <c r="D140" s="500" t="s">
        <v>56</v>
      </c>
      <c r="E140" s="500"/>
      <c r="F140" s="500"/>
      <c r="G140" s="500"/>
      <c r="H140" s="500"/>
      <c r="I140" s="500"/>
      <c r="J140" s="500"/>
      <c r="K140" s="500"/>
      <c r="L140" s="61"/>
      <c r="M140" s="499" t="s">
        <v>57</v>
      </c>
      <c r="N140" s="499"/>
      <c r="O140" s="499"/>
      <c r="P140" s="499"/>
      <c r="R140" s="12"/>
      <c r="Z140" s="13"/>
    </row>
    <row r="141" spans="3:26" hidden="1" outlineLevel="1" x14ac:dyDescent="0.25">
      <c r="C141" s="56"/>
      <c r="D141" s="500" t="s">
        <v>42</v>
      </c>
      <c r="E141" s="500"/>
      <c r="F141" s="500"/>
      <c r="G141" s="500"/>
      <c r="H141" s="500" t="s">
        <v>43</v>
      </c>
      <c r="I141" s="500"/>
      <c r="J141" s="500"/>
      <c r="K141" s="500"/>
      <c r="L141" s="61"/>
      <c r="M141" s="62" t="s">
        <v>44</v>
      </c>
      <c r="N141" s="62" t="s">
        <v>45</v>
      </c>
      <c r="O141" s="62" t="s">
        <v>46</v>
      </c>
      <c r="P141" s="62" t="s">
        <v>47</v>
      </c>
      <c r="Q141" s="105"/>
      <c r="R141" s="12"/>
      <c r="S141" s="81"/>
      <c r="T141" s="499" t="s">
        <v>52</v>
      </c>
      <c r="U141" s="499"/>
      <c r="V141" s="499"/>
      <c r="W141" s="499"/>
      <c r="X141" s="499"/>
      <c r="Y141" s="499"/>
      <c r="Z141" s="13"/>
    </row>
    <row r="142" spans="3:26" hidden="1" outlineLevel="1" x14ac:dyDescent="0.25">
      <c r="C142" s="76"/>
      <c r="D142" s="77">
        <f>StartDate</f>
        <v>46023</v>
      </c>
      <c r="E142" s="77">
        <f>EDATE(D142,3)</f>
        <v>46113</v>
      </c>
      <c r="F142" s="77">
        <f t="shared" ref="F142" si="43">EDATE(E142,3)</f>
        <v>46204</v>
      </c>
      <c r="G142" s="77">
        <f t="shared" ref="G142" si="44">EDATE(F142,3)</f>
        <v>46296</v>
      </c>
      <c r="H142" s="77">
        <f t="shared" ref="H142" si="45">EDATE(G142,3)</f>
        <v>46388</v>
      </c>
      <c r="I142" s="77">
        <f t="shared" ref="I142" si="46">EDATE(H142,3)</f>
        <v>46478</v>
      </c>
      <c r="J142" s="77">
        <f t="shared" ref="J142" si="47">EDATE(I142,3)</f>
        <v>46569</v>
      </c>
      <c r="K142" s="77">
        <f t="shared" ref="K142" si="48">EDATE(J142,3)</f>
        <v>46661</v>
      </c>
      <c r="L142" s="61"/>
      <c r="M142" s="77">
        <f>EDATE(K142,3)</f>
        <v>46753</v>
      </c>
      <c r="N142" s="77">
        <f t="shared" ref="N142" si="49">EDATE(M142,12)</f>
        <v>47119</v>
      </c>
      <c r="O142" s="77">
        <f t="shared" ref="O142" si="50">EDATE(N142,12)</f>
        <v>47484</v>
      </c>
      <c r="P142" s="77">
        <f t="shared" ref="P142" si="51">EDATE(O142,12)</f>
        <v>47849</v>
      </c>
      <c r="R142" s="12"/>
      <c r="S142" s="81"/>
      <c r="T142" s="62" t="s">
        <v>42</v>
      </c>
      <c r="U142" s="62" t="s">
        <v>43</v>
      </c>
      <c r="V142" s="62" t="s">
        <v>44</v>
      </c>
      <c r="W142" s="62" t="s">
        <v>45</v>
      </c>
      <c r="X142" s="62" t="s">
        <v>46</v>
      </c>
      <c r="Y142" s="62" t="s">
        <v>47</v>
      </c>
      <c r="Z142" s="13"/>
    </row>
    <row r="143" spans="3:26" hidden="1" outlineLevel="1" x14ac:dyDescent="0.25">
      <c r="C143" s="59" t="str">
        <f t="shared" ref="C143:K143" si="52">C62</f>
        <v>Europe</v>
      </c>
      <c r="D143" s="60">
        <f t="shared" si="52"/>
        <v>0</v>
      </c>
      <c r="E143" s="60">
        <f t="shared" si="52"/>
        <v>0</v>
      </c>
      <c r="F143" s="60">
        <f t="shared" si="52"/>
        <v>0</v>
      </c>
      <c r="G143" s="60">
        <f t="shared" si="52"/>
        <v>0</v>
      </c>
      <c r="H143" s="60">
        <f t="shared" si="52"/>
        <v>39513.600000000006</v>
      </c>
      <c r="I143" s="60">
        <f t="shared" si="52"/>
        <v>39513.600000000006</v>
      </c>
      <c r="J143" s="60">
        <f t="shared" si="52"/>
        <v>39513.600000000006</v>
      </c>
      <c r="K143" s="60">
        <f t="shared" si="52"/>
        <v>39513.600000000006</v>
      </c>
      <c r="L143" s="61"/>
      <c r="M143" s="109">
        <f t="shared" ref="M143:P146" si="53">M62</f>
        <v>295034.88000000006</v>
      </c>
      <c r="N143" s="109">
        <f t="shared" si="53"/>
        <v>660878.13120000018</v>
      </c>
      <c r="O143" s="109">
        <f t="shared" si="53"/>
        <v>888220.20833280031</v>
      </c>
      <c r="P143" s="109">
        <f t="shared" si="53"/>
        <v>1243508.2916659205</v>
      </c>
      <c r="R143" s="12"/>
      <c r="S143" s="81"/>
      <c r="T143" s="77">
        <f>D132</f>
        <v>46023</v>
      </c>
      <c r="U143" s="77">
        <f>H132</f>
        <v>46388</v>
      </c>
      <c r="V143" s="77">
        <f>M132</f>
        <v>46753</v>
      </c>
      <c r="W143" s="77">
        <f t="shared" ref="W143:Y143" si="54">EDATE(V143,12)</f>
        <v>47119</v>
      </c>
      <c r="X143" s="77">
        <f t="shared" si="54"/>
        <v>47484</v>
      </c>
      <c r="Y143" s="77">
        <f t="shared" si="54"/>
        <v>47849</v>
      </c>
      <c r="Z143" s="13"/>
    </row>
    <row r="144" spans="3:26" hidden="1" outlineLevel="1" x14ac:dyDescent="0.25">
      <c r="C144" s="59" t="str">
        <f t="shared" ref="C144:K144" si="55">C63</f>
        <v>USA &amp; Canada</v>
      </c>
      <c r="D144" s="60">
        <f t="shared" si="55"/>
        <v>0</v>
      </c>
      <c r="E144" s="60">
        <f t="shared" si="55"/>
        <v>0</v>
      </c>
      <c r="F144" s="60">
        <f t="shared" si="55"/>
        <v>0</v>
      </c>
      <c r="G144" s="60">
        <f t="shared" si="55"/>
        <v>0</v>
      </c>
      <c r="H144" s="60">
        <f t="shared" si="55"/>
        <v>0</v>
      </c>
      <c r="I144" s="60">
        <f t="shared" si="55"/>
        <v>0</v>
      </c>
      <c r="J144" s="60">
        <f t="shared" si="55"/>
        <v>0</v>
      </c>
      <c r="K144" s="60">
        <f t="shared" si="55"/>
        <v>0</v>
      </c>
      <c r="L144" s="61"/>
      <c r="M144" s="109">
        <f t="shared" si="53"/>
        <v>0</v>
      </c>
      <c r="N144" s="109">
        <f t="shared" si="53"/>
        <v>418556.14976000017</v>
      </c>
      <c r="O144" s="109">
        <f t="shared" si="53"/>
        <v>1171957.2193280007</v>
      </c>
      <c r="P144" s="109">
        <f t="shared" si="53"/>
        <v>1837628.9199063054</v>
      </c>
      <c r="R144" s="12"/>
      <c r="S144" s="94" t="str">
        <f>C133</f>
        <v>Free Tier</v>
      </c>
      <c r="T144" s="60">
        <f>SUM(D133:G133)</f>
        <v>0</v>
      </c>
      <c r="U144" s="60">
        <f>SUM(H133:K133)</f>
        <v>0</v>
      </c>
      <c r="V144" s="60">
        <f>M133</f>
        <v>0</v>
      </c>
      <c r="W144" s="60">
        <f t="shared" ref="W144:Y146" si="56">N133</f>
        <v>0</v>
      </c>
      <c r="X144" s="60">
        <f t="shared" si="56"/>
        <v>0</v>
      </c>
      <c r="Y144" s="60">
        <f t="shared" si="56"/>
        <v>0</v>
      </c>
      <c r="Z144" s="13"/>
    </row>
    <row r="145" spans="3:26" ht="15.75" hidden="1" outlineLevel="1" thickBot="1" x14ac:dyDescent="0.3">
      <c r="C145" s="111" t="str">
        <f t="shared" ref="C145:K145" si="57">C64</f>
        <v>Market 3</v>
      </c>
      <c r="D145" s="97">
        <f t="shared" si="57"/>
        <v>0</v>
      </c>
      <c r="E145" s="97">
        <f t="shared" si="57"/>
        <v>0</v>
      </c>
      <c r="F145" s="97">
        <f t="shared" si="57"/>
        <v>0</v>
      </c>
      <c r="G145" s="97">
        <f t="shared" si="57"/>
        <v>0</v>
      </c>
      <c r="H145" s="97">
        <f t="shared" si="57"/>
        <v>0</v>
      </c>
      <c r="I145" s="97">
        <f t="shared" si="57"/>
        <v>0</v>
      </c>
      <c r="J145" s="97">
        <f t="shared" si="57"/>
        <v>0</v>
      </c>
      <c r="K145" s="97">
        <f t="shared" si="57"/>
        <v>0</v>
      </c>
      <c r="L145" s="61"/>
      <c r="M145" s="112">
        <f t="shared" si="53"/>
        <v>0</v>
      </c>
      <c r="N145" s="112">
        <f t="shared" si="53"/>
        <v>0</v>
      </c>
      <c r="O145" s="112">
        <f t="shared" si="53"/>
        <v>0</v>
      </c>
      <c r="P145" s="112">
        <f t="shared" si="53"/>
        <v>0</v>
      </c>
      <c r="Q145" s="106"/>
      <c r="R145" s="12"/>
      <c r="S145" s="94" t="str">
        <f>C134</f>
        <v>Professional</v>
      </c>
      <c r="T145" s="60">
        <f>SUM(D134:G134)</f>
        <v>0</v>
      </c>
      <c r="U145" s="60">
        <f>SUM(H134:K134)</f>
        <v>145073.46624526987</v>
      </c>
      <c r="V145" s="60">
        <f>M134</f>
        <v>379491.34441564715</v>
      </c>
      <c r="W145" s="60">
        <f t="shared" si="56"/>
        <v>681511.9315394829</v>
      </c>
      <c r="X145" s="60">
        <f t="shared" si="56"/>
        <v>1223897.5135147413</v>
      </c>
      <c r="Y145" s="60">
        <f t="shared" si="56"/>
        <v>2197944.0920482031</v>
      </c>
      <c r="Z145" s="13"/>
    </row>
    <row r="146" spans="3:26" ht="15.75" hidden="1" outlineLevel="1" thickBot="1" x14ac:dyDescent="0.3">
      <c r="C146" s="113" t="str">
        <f t="shared" ref="C146:K146" si="58">C65</f>
        <v xml:space="preserve">Total </v>
      </c>
      <c r="D146" s="130">
        <f t="shared" si="58"/>
        <v>0</v>
      </c>
      <c r="E146" s="130">
        <f t="shared" si="58"/>
        <v>0</v>
      </c>
      <c r="F146" s="130">
        <f t="shared" si="58"/>
        <v>0</v>
      </c>
      <c r="G146" s="130">
        <f t="shared" si="58"/>
        <v>0</v>
      </c>
      <c r="H146" s="130">
        <f t="shared" si="58"/>
        <v>39513.600000000006</v>
      </c>
      <c r="I146" s="130">
        <f t="shared" si="58"/>
        <v>39513.600000000006</v>
      </c>
      <c r="J146" s="130">
        <f t="shared" si="58"/>
        <v>39513.600000000006</v>
      </c>
      <c r="K146" s="131">
        <f t="shared" si="58"/>
        <v>39513.600000000006</v>
      </c>
      <c r="L146" s="61"/>
      <c r="M146" s="133">
        <f t="shared" si="53"/>
        <v>295034.88000000006</v>
      </c>
      <c r="N146" s="134">
        <f t="shared" si="53"/>
        <v>1079434.2809600004</v>
      </c>
      <c r="O146" s="134">
        <f t="shared" si="53"/>
        <v>2060177.427660801</v>
      </c>
      <c r="P146" s="135">
        <f t="shared" si="53"/>
        <v>3081137.2115722261</v>
      </c>
      <c r="R146" s="12"/>
      <c r="S146" s="96" t="str">
        <f>C135</f>
        <v>Premium</v>
      </c>
      <c r="T146" s="97">
        <f>SUM(D135:G135)</f>
        <v>0</v>
      </c>
      <c r="U146" s="97">
        <f>SUM(H135:K135)</f>
        <v>75576.108431713437</v>
      </c>
      <c r="V146" s="97">
        <f>M135</f>
        <v>202230.80784313485</v>
      </c>
      <c r="W146" s="97">
        <f t="shared" si="56"/>
        <v>363177.47558165953</v>
      </c>
      <c r="X146" s="97">
        <f t="shared" si="56"/>
        <v>652214.56699207111</v>
      </c>
      <c r="Y146" s="97">
        <f t="shared" si="56"/>
        <v>1171283.6560564952</v>
      </c>
      <c r="Z146" s="13"/>
    </row>
    <row r="147" spans="3:26" ht="15.75" hidden="1" outlineLevel="1" thickBot="1" x14ac:dyDescent="0.3">
      <c r="R147" s="12"/>
      <c r="S147" s="103" t="s">
        <v>75</v>
      </c>
      <c r="T147" s="99">
        <f t="shared" ref="T147:Y147" si="59">SUM(T144:T146)</f>
        <v>0</v>
      </c>
      <c r="U147" s="99">
        <f t="shared" si="59"/>
        <v>220649.57467698329</v>
      </c>
      <c r="V147" s="99">
        <f t="shared" si="59"/>
        <v>581722.15225878195</v>
      </c>
      <c r="W147" s="99">
        <f t="shared" si="59"/>
        <v>1044689.4071211424</v>
      </c>
      <c r="X147" s="99">
        <f t="shared" si="59"/>
        <v>1876112.0805068123</v>
      </c>
      <c r="Y147" s="100">
        <f t="shared" si="59"/>
        <v>3369227.748104698</v>
      </c>
      <c r="Z147" s="13"/>
    </row>
    <row r="148" spans="3:26" hidden="1" outlineLevel="1" x14ac:dyDescent="0.25">
      <c r="R148" s="12"/>
      <c r="Z148" s="13"/>
    </row>
    <row r="149" spans="3:26" hidden="1" outlineLevel="1" x14ac:dyDescent="0.25">
      <c r="C149" s="106" t="s">
        <v>84</v>
      </c>
      <c r="R149" s="12"/>
      <c r="Z149" s="13"/>
    </row>
    <row r="150" spans="3:26" ht="19.5" hidden="1" outlineLevel="1" x14ac:dyDescent="0.3">
      <c r="C150" s="55"/>
      <c r="D150" s="500" t="s">
        <v>56</v>
      </c>
      <c r="E150" s="500"/>
      <c r="F150" s="500"/>
      <c r="G150" s="500"/>
      <c r="H150" s="500"/>
      <c r="I150" s="500"/>
      <c r="J150" s="500"/>
      <c r="K150" s="500"/>
      <c r="L150" s="61"/>
      <c r="M150" s="499" t="s">
        <v>57</v>
      </c>
      <c r="N150" s="499"/>
      <c r="O150" s="499"/>
      <c r="P150" s="499"/>
      <c r="R150" s="12"/>
      <c r="Z150" s="13"/>
    </row>
    <row r="151" spans="3:26" hidden="1" outlineLevel="1" x14ac:dyDescent="0.25">
      <c r="C151" s="56"/>
      <c r="D151" s="500" t="s">
        <v>42</v>
      </c>
      <c r="E151" s="500"/>
      <c r="F151" s="500"/>
      <c r="G151" s="500"/>
      <c r="H151" s="500" t="s">
        <v>43</v>
      </c>
      <c r="I151" s="500"/>
      <c r="J151" s="500"/>
      <c r="K151" s="500"/>
      <c r="L151" s="61"/>
      <c r="M151" s="62" t="s">
        <v>44</v>
      </c>
      <c r="N151" s="62" t="s">
        <v>45</v>
      </c>
      <c r="O151" s="62" t="s">
        <v>46</v>
      </c>
      <c r="P151" s="62" t="s">
        <v>47</v>
      </c>
      <c r="R151" s="12"/>
      <c r="Z151" s="13"/>
    </row>
    <row r="152" spans="3:26" hidden="1" outlineLevel="1" x14ac:dyDescent="0.25">
      <c r="C152" s="76"/>
      <c r="D152" s="77">
        <f>StartDate</f>
        <v>46023</v>
      </c>
      <c r="E152" s="77">
        <f>EDATE(D152,3)</f>
        <v>46113</v>
      </c>
      <c r="F152" s="77">
        <f t="shared" ref="F152" si="60">EDATE(E152,3)</f>
        <v>46204</v>
      </c>
      <c r="G152" s="77">
        <f t="shared" ref="G152" si="61">EDATE(F152,3)</f>
        <v>46296</v>
      </c>
      <c r="H152" s="77">
        <f t="shared" ref="H152" si="62">EDATE(G152,3)</f>
        <v>46388</v>
      </c>
      <c r="I152" s="77">
        <f t="shared" ref="I152" si="63">EDATE(H152,3)</f>
        <v>46478</v>
      </c>
      <c r="J152" s="77">
        <f t="shared" ref="J152" si="64">EDATE(I152,3)</f>
        <v>46569</v>
      </c>
      <c r="K152" s="77">
        <f t="shared" ref="K152" si="65">EDATE(J152,3)</f>
        <v>46661</v>
      </c>
      <c r="L152" s="61"/>
      <c r="M152" s="77">
        <f>EDATE(K152,3)</f>
        <v>46753</v>
      </c>
      <c r="N152" s="77">
        <f t="shared" ref="N152" si="66">EDATE(M152,12)</f>
        <v>47119</v>
      </c>
      <c r="O152" s="77">
        <f t="shared" ref="O152" si="67">EDATE(N152,12)</f>
        <v>47484</v>
      </c>
      <c r="P152" s="77">
        <f t="shared" ref="P152" si="68">EDATE(O152,12)</f>
        <v>47849</v>
      </c>
      <c r="R152" s="12"/>
      <c r="Z152" s="13"/>
    </row>
    <row r="153" spans="3:26" hidden="1" outlineLevel="1" x14ac:dyDescent="0.25">
      <c r="C153" s="59" t="str">
        <f>C92</f>
        <v>Free Tier</v>
      </c>
      <c r="D153" s="60">
        <f t="shared" ref="D153:K153" si="69">D92</f>
        <v>0</v>
      </c>
      <c r="E153" s="60">
        <f t="shared" si="69"/>
        <v>0</v>
      </c>
      <c r="F153" s="60">
        <f t="shared" si="69"/>
        <v>0</v>
      </c>
      <c r="G153" s="60">
        <f t="shared" si="69"/>
        <v>0</v>
      </c>
      <c r="H153" s="60">
        <f t="shared" si="69"/>
        <v>0</v>
      </c>
      <c r="I153" s="60">
        <f t="shared" si="69"/>
        <v>0</v>
      </c>
      <c r="J153" s="60">
        <f t="shared" si="69"/>
        <v>0</v>
      </c>
      <c r="K153" s="60">
        <f t="shared" si="69"/>
        <v>0</v>
      </c>
      <c r="L153" s="61"/>
      <c r="M153" s="109">
        <f>M92</f>
        <v>0</v>
      </c>
      <c r="N153" s="109">
        <f t="shared" ref="N153:P153" si="70">N92</f>
        <v>0</v>
      </c>
      <c r="O153" s="109">
        <f t="shared" si="70"/>
        <v>0</v>
      </c>
      <c r="P153" s="109">
        <f t="shared" si="70"/>
        <v>0</v>
      </c>
      <c r="R153" s="12"/>
      <c r="Z153" s="13"/>
    </row>
    <row r="154" spans="3:26" hidden="1" outlineLevel="1" x14ac:dyDescent="0.25">
      <c r="C154" s="59" t="str">
        <f t="shared" ref="C154:K156" si="71">C93</f>
        <v>Professional</v>
      </c>
      <c r="D154" s="60">
        <f t="shared" si="71"/>
        <v>0</v>
      </c>
      <c r="E154" s="60">
        <f t="shared" si="71"/>
        <v>0</v>
      </c>
      <c r="F154" s="60">
        <f t="shared" si="71"/>
        <v>0</v>
      </c>
      <c r="G154" s="60">
        <f t="shared" si="71"/>
        <v>0</v>
      </c>
      <c r="H154" s="60">
        <f t="shared" si="71"/>
        <v>28732.830749999997</v>
      </c>
      <c r="I154" s="60">
        <f t="shared" si="71"/>
        <v>33261.843196968752</v>
      </c>
      <c r="J154" s="60">
        <f t="shared" si="71"/>
        <v>38504.741230890962</v>
      </c>
      <c r="K154" s="60">
        <f t="shared" si="71"/>
        <v>44574.051067410161</v>
      </c>
      <c r="L154" s="61"/>
      <c r="M154" s="109">
        <f t="shared" ref="M154:P154" si="72">M93</f>
        <v>379491.34441564715</v>
      </c>
      <c r="N154" s="109">
        <f t="shared" si="72"/>
        <v>681511.9315394829</v>
      </c>
      <c r="O154" s="109">
        <f t="shared" si="72"/>
        <v>1223897.5135147413</v>
      </c>
      <c r="P154" s="109">
        <f t="shared" si="72"/>
        <v>2197944.0920482031</v>
      </c>
      <c r="R154" s="12"/>
      <c r="Z154" s="13"/>
    </row>
    <row r="155" spans="3:26" ht="15.75" hidden="1" outlineLevel="1" thickBot="1" x14ac:dyDescent="0.3">
      <c r="C155" s="111" t="str">
        <f t="shared" si="71"/>
        <v>Premium</v>
      </c>
      <c r="D155" s="97">
        <f t="shared" si="71"/>
        <v>0</v>
      </c>
      <c r="E155" s="97">
        <f t="shared" si="71"/>
        <v>0</v>
      </c>
      <c r="F155" s="97">
        <f t="shared" si="71"/>
        <v>0</v>
      </c>
      <c r="G155" s="97">
        <f t="shared" si="71"/>
        <v>0</v>
      </c>
      <c r="H155" s="97">
        <f t="shared" si="71"/>
        <v>14968.385249999998</v>
      </c>
      <c r="I155" s="97">
        <f t="shared" si="71"/>
        <v>17327.776975031251</v>
      </c>
      <c r="J155" s="97">
        <f t="shared" si="71"/>
        <v>20059.067820720556</v>
      </c>
      <c r="K155" s="97">
        <f t="shared" si="71"/>
        <v>23220.878385961634</v>
      </c>
      <c r="L155" s="61"/>
      <c r="M155" s="109">
        <f t="shared" ref="M155:P155" si="73">M94</f>
        <v>202230.80784313485</v>
      </c>
      <c r="N155" s="109">
        <f t="shared" si="73"/>
        <v>363177.47558165953</v>
      </c>
      <c r="O155" s="109">
        <f t="shared" si="73"/>
        <v>652214.56699207111</v>
      </c>
      <c r="P155" s="109">
        <f t="shared" si="73"/>
        <v>1171283.6560564952</v>
      </c>
      <c r="R155" s="12"/>
      <c r="Z155" s="13"/>
    </row>
    <row r="156" spans="3:26" ht="15.75" hidden="1" outlineLevel="1" thickBot="1" x14ac:dyDescent="0.3">
      <c r="C156" s="113" t="str">
        <f t="shared" si="71"/>
        <v xml:space="preserve">Total </v>
      </c>
      <c r="D156" s="130">
        <f t="shared" si="71"/>
        <v>0</v>
      </c>
      <c r="E156" s="130">
        <f t="shared" si="71"/>
        <v>0</v>
      </c>
      <c r="F156" s="130">
        <f t="shared" si="71"/>
        <v>0</v>
      </c>
      <c r="G156" s="130">
        <f t="shared" si="71"/>
        <v>0</v>
      </c>
      <c r="H156" s="130">
        <f t="shared" si="71"/>
        <v>43701.215999999993</v>
      </c>
      <c r="I156" s="130">
        <f t="shared" si="71"/>
        <v>50589.620172000003</v>
      </c>
      <c r="J156" s="130">
        <f t="shared" si="71"/>
        <v>58563.809051611519</v>
      </c>
      <c r="K156" s="131">
        <f t="shared" si="71"/>
        <v>67794.929453371791</v>
      </c>
      <c r="L156" s="61"/>
      <c r="M156" s="116">
        <f t="shared" ref="M156:P156" si="74">SUM(M153:M155)</f>
        <v>581722.15225878195</v>
      </c>
      <c r="N156" s="114">
        <f t="shared" si="74"/>
        <v>1044689.4071211424</v>
      </c>
      <c r="O156" s="114">
        <f t="shared" si="74"/>
        <v>1876112.0805068123</v>
      </c>
      <c r="P156" s="115">
        <f t="shared" si="74"/>
        <v>3369227.748104698</v>
      </c>
      <c r="R156" s="12"/>
      <c r="Z156" s="13"/>
    </row>
    <row r="157" spans="3:26" hidden="1" outlineLevel="1" x14ac:dyDescent="0.25">
      <c r="R157" s="12"/>
      <c r="Z157" s="13"/>
    </row>
    <row r="158" spans="3:26" hidden="1" outlineLevel="1" x14ac:dyDescent="0.25">
      <c r="C158" s="81"/>
      <c r="D158" s="522">
        <f>M152</f>
        <v>46753</v>
      </c>
      <c r="E158" s="523"/>
      <c r="F158" s="522">
        <f>N152</f>
        <v>47119</v>
      </c>
      <c r="G158" s="523"/>
      <c r="H158" s="522">
        <f>O152</f>
        <v>47484</v>
      </c>
      <c r="I158" s="523"/>
      <c r="J158" s="522">
        <f>P152</f>
        <v>47849</v>
      </c>
      <c r="K158" s="523"/>
      <c r="R158" s="12"/>
      <c r="Z158" s="13"/>
    </row>
    <row r="159" spans="3:26" ht="45" hidden="1" outlineLevel="1" x14ac:dyDescent="0.25">
      <c r="C159" s="429" t="s">
        <v>85</v>
      </c>
      <c r="D159" s="431">
        <f>M156/M146</f>
        <v>1.9717063699681265</v>
      </c>
      <c r="E159" s="430" t="str">
        <f>IF(D159&lt;0.5,"Bottom-up too weak vs market",IF(D159&lt;0.8,"Conservative execution",IF(D159&lt;1.2,"Strong convergence","Bottom-up too aggressive")))</f>
        <v>Bottom-up too aggressive</v>
      </c>
      <c r="F159" s="431">
        <f>N156/N146</f>
        <v>0.96781195997596314</v>
      </c>
      <c r="G159" s="430" t="str">
        <f>IF(F159&lt;0.5,"Bottom-up too weak vs market",IF(F159&lt;0.8,"Conservative execution",IF(F159&lt;1.2,"Strong convergence","Bottom-up too aggressive")))</f>
        <v>Strong convergence</v>
      </c>
      <c r="H159" s="431">
        <f>O156/O146</f>
        <v>0.91065558495950372</v>
      </c>
      <c r="I159" s="430" t="str">
        <f>IF(H159&lt;0.5,"Bottom-up too weak vs market",IF(H159&lt;0.8,"Conservative execution",IF(H159&lt;1.2,"Strong convergence","Bottom-up too aggressive")))</f>
        <v>Strong convergence</v>
      </c>
      <c r="J159" s="431">
        <f>P156/P146</f>
        <v>1.0935013654862409</v>
      </c>
      <c r="K159" s="430" t="str">
        <f>IF(J159&lt;0.5,"Bottom-up too weak vs market",IF(J159&lt;0.8,"Conservative execution",IF(J159&lt;1.2,"Strong convergence","Bottom-up too aggressive")))</f>
        <v>Strong convergence</v>
      </c>
      <c r="R159" s="12"/>
      <c r="Z159" s="13"/>
    </row>
    <row r="160" spans="3:26" ht="18.75" hidden="1" outlineLevel="1" x14ac:dyDescent="0.25">
      <c r="C160" s="429" t="s">
        <v>86</v>
      </c>
      <c r="D160" s="455">
        <f>M156-M146</f>
        <v>286687.27225878189</v>
      </c>
      <c r="E160" s="455"/>
      <c r="F160" s="455">
        <f>N156-N146</f>
        <v>-34744.87383885798</v>
      </c>
      <c r="G160" s="455"/>
      <c r="H160" s="455">
        <f>O156-O146</f>
        <v>-184065.34715398867</v>
      </c>
      <c r="I160" s="455"/>
      <c r="J160" s="455">
        <f>P156-P146</f>
        <v>288090.53653247189</v>
      </c>
      <c r="K160" s="81"/>
      <c r="R160" s="12"/>
      <c r="Z160" s="13"/>
    </row>
    <row r="161" spans="1:27" hidden="1" outlineLevel="1" x14ac:dyDescent="0.25">
      <c r="R161" s="12"/>
      <c r="Z161" s="13"/>
    </row>
    <row r="162" spans="1:27" hidden="1" outlineLevel="1" x14ac:dyDescent="0.25">
      <c r="R162" s="12"/>
      <c r="Z162" s="13"/>
    </row>
    <row r="163" spans="1:27" hidden="1" outlineLevel="1" x14ac:dyDescent="0.25">
      <c r="R163" s="12"/>
      <c r="Z163" s="13"/>
    </row>
    <row r="164" spans="1:27" hidden="1" outlineLevel="1" x14ac:dyDescent="0.25">
      <c r="R164" s="12"/>
      <c r="Z164" s="13"/>
    </row>
    <row r="165" spans="1:27" ht="15.75" hidden="1" outlineLevel="1" thickBot="1" x14ac:dyDescent="0.3">
      <c r="R165" s="35"/>
      <c r="S165" s="36"/>
      <c r="T165" s="36"/>
      <c r="U165" s="36"/>
      <c r="V165" s="36"/>
      <c r="W165" s="36"/>
      <c r="X165" s="36"/>
      <c r="Y165" s="36"/>
      <c r="Z165" s="37"/>
    </row>
    <row r="166" spans="1:27" ht="15.75" hidden="1" outlineLevel="1" thickTop="1" x14ac:dyDescent="0.25"/>
    <row r="167" spans="1:27" collapsed="1" x14ac:dyDescent="0.25">
      <c r="C167" s="517"/>
      <c r="D167" s="517"/>
    </row>
    <row r="168" spans="1:27" ht="19.5" x14ac:dyDescent="0.3">
      <c r="A168" s="358" t="s">
        <v>87</v>
      </c>
      <c r="B168" s="359" t="s">
        <v>88</v>
      </c>
      <c r="C168" s="2"/>
    </row>
    <row r="169" spans="1:27" ht="25.5" hidden="1" outlineLevel="1" thickTop="1" thickBot="1" x14ac:dyDescent="0.45">
      <c r="C169" s="3" t="s">
        <v>89</v>
      </c>
      <c r="D169" s="4"/>
      <c r="E169" s="4"/>
      <c r="F169" s="4"/>
      <c r="G169" s="4"/>
      <c r="H169" s="4"/>
      <c r="I169" s="4"/>
      <c r="J169" s="4"/>
      <c r="K169" s="4"/>
      <c r="L169" s="4"/>
      <c r="M169" s="4"/>
      <c r="N169" s="4"/>
      <c r="O169" s="4"/>
      <c r="P169" s="4"/>
      <c r="R169" s="5"/>
      <c r="S169" s="6" t="str">
        <f>CompanyName &amp;" COS Forecast - Top-down"</f>
        <v>Sustainsphere COS Forecast - Top-down</v>
      </c>
      <c r="T169" s="7"/>
      <c r="U169" s="7"/>
      <c r="V169" s="7"/>
      <c r="W169" s="7"/>
      <c r="X169" s="7"/>
      <c r="Y169" s="7"/>
      <c r="Z169" s="8"/>
    </row>
    <row r="170" spans="1:27" ht="15.75" hidden="1" outlineLevel="1" thickTop="1" x14ac:dyDescent="0.25">
      <c r="C170" s="9" t="str">
        <f>"COS ("&amp;SubHeader&amp;")"</f>
        <v>COS (EUR)</v>
      </c>
      <c r="D170" s="10"/>
      <c r="E170" s="11"/>
      <c r="F170" s="11"/>
      <c r="R170" s="12"/>
      <c r="Z170" s="13"/>
    </row>
    <row r="171" spans="1:27" ht="18" hidden="1" outlineLevel="1" thickBot="1" x14ac:dyDescent="0.35">
      <c r="D171" s="10"/>
      <c r="E171" s="15"/>
      <c r="F171" s="15"/>
      <c r="G171" s="15"/>
      <c r="H171" s="15"/>
      <c r="I171" s="15"/>
      <c r="J171" s="16"/>
      <c r="K171" s="16"/>
      <c r="L171" s="16"/>
      <c r="M171" s="16"/>
      <c r="N171" s="16"/>
      <c r="O171" s="16"/>
      <c r="P171" s="16"/>
      <c r="R171" s="12"/>
      <c r="S171" s="17" t="s">
        <v>24</v>
      </c>
      <c r="Z171" s="13"/>
    </row>
    <row r="172" spans="1:27" ht="15.75" hidden="1" outlineLevel="1" thickTop="1" x14ac:dyDescent="0.25">
      <c r="C172" t="s">
        <v>90</v>
      </c>
      <c r="R172" s="12"/>
      <c r="Z172" s="13"/>
    </row>
    <row r="173" spans="1:27" ht="15.75" hidden="1" outlineLevel="1" x14ac:dyDescent="0.25">
      <c r="D173" t="s">
        <v>79</v>
      </c>
      <c r="E173" s="18"/>
      <c r="F173" s="18"/>
      <c r="G173" s="18"/>
      <c r="H173" s="18"/>
      <c r="I173" s="18"/>
      <c r="J173" s="18"/>
      <c r="K173" s="18"/>
      <c r="L173" s="18"/>
      <c r="M173" s="18"/>
      <c r="N173" s="18"/>
      <c r="O173" s="18"/>
      <c r="P173" s="18"/>
      <c r="Q173" s="18"/>
      <c r="R173" s="19"/>
      <c r="S173" s="18"/>
      <c r="T173" s="18"/>
      <c r="U173" s="18"/>
      <c r="V173" s="18"/>
      <c r="W173" s="18"/>
      <c r="X173" s="18"/>
      <c r="Y173" s="18"/>
      <c r="Z173" s="20"/>
      <c r="AA173" s="18"/>
    </row>
    <row r="174" spans="1:27" hidden="1" outlineLevel="1" x14ac:dyDescent="0.25">
      <c r="D174" t="s">
        <v>81</v>
      </c>
      <c r="K174" s="87"/>
      <c r="L174" s="87"/>
      <c r="M174" s="87"/>
      <c r="R174" s="12"/>
      <c r="Z174" s="13"/>
    </row>
    <row r="175" spans="1:27" hidden="1" outlineLevel="1" x14ac:dyDescent="0.25">
      <c r="R175" s="12"/>
      <c r="Z175" s="13"/>
    </row>
    <row r="176" spans="1:27" ht="20.25" hidden="1" outlineLevel="1" thickBot="1" x14ac:dyDescent="0.35">
      <c r="C176" s="26" t="s">
        <v>91</v>
      </c>
      <c r="R176" s="12"/>
      <c r="Z176" s="13"/>
    </row>
    <row r="177" spans="3:26" ht="20.25" hidden="1" outlineLevel="1" thickTop="1" x14ac:dyDescent="0.3">
      <c r="C177" s="54"/>
      <c r="R177" s="12"/>
      <c r="Z177" s="13"/>
    </row>
    <row r="178" spans="3:26" ht="17.25" hidden="1" outlineLevel="1" x14ac:dyDescent="0.3">
      <c r="C178" s="127" t="s">
        <v>92</v>
      </c>
      <c r="D178" s="127"/>
      <c r="E178" s="127"/>
      <c r="F178" s="127"/>
      <c r="G178" s="518"/>
      <c r="H178" s="518"/>
      <c r="I178" s="518"/>
      <c r="J178" s="518"/>
      <c r="K178" s="518"/>
      <c r="L178" s="518"/>
      <c r="M178" s="518"/>
      <c r="N178" s="518"/>
      <c r="O178" s="518"/>
      <c r="P178" s="22"/>
      <c r="R178" s="12"/>
      <c r="Z178" s="13"/>
    </row>
    <row r="179" spans="3:26" ht="17.25" hidden="1" outlineLevel="1" x14ac:dyDescent="0.3">
      <c r="C179" s="136"/>
      <c r="D179" s="137" t="str">
        <f>C92</f>
        <v>Free Tier</v>
      </c>
      <c r="E179" s="513" t="s">
        <v>27</v>
      </c>
      <c r="F179" s="513"/>
      <c r="G179" s="513"/>
      <c r="H179" s="137" t="str">
        <f>C93</f>
        <v>Professional</v>
      </c>
      <c r="I179" s="513" t="s">
        <v>27</v>
      </c>
      <c r="J179" s="513"/>
      <c r="K179" s="513"/>
      <c r="L179" s="139" t="str">
        <f>C94</f>
        <v>Premium</v>
      </c>
      <c r="M179" s="513" t="s">
        <v>27</v>
      </c>
      <c r="N179" s="513"/>
      <c r="O179" s="513"/>
      <c r="R179" s="12"/>
      <c r="Z179" s="13"/>
    </row>
    <row r="180" spans="3:26" hidden="1" outlineLevel="1" x14ac:dyDescent="0.25">
      <c r="C180" s="126" t="s">
        <v>93</v>
      </c>
      <c r="D180" s="138">
        <v>0</v>
      </c>
      <c r="E180" s="506"/>
      <c r="F180" s="506"/>
      <c r="G180" s="506"/>
      <c r="H180" s="138">
        <v>0.84</v>
      </c>
      <c r="I180" s="506"/>
      <c r="J180" s="506"/>
      <c r="K180" s="506"/>
      <c r="L180" s="138">
        <v>0.74</v>
      </c>
      <c r="M180" s="506"/>
      <c r="N180" s="506"/>
      <c r="O180" s="506"/>
      <c r="R180" s="12"/>
      <c r="Z180" s="13"/>
    </row>
    <row r="181" spans="3:26" ht="20.25" hidden="1" outlineLevel="1" thickBot="1" x14ac:dyDescent="0.35">
      <c r="C181" s="26"/>
      <c r="R181" s="12"/>
      <c r="Z181" s="13"/>
    </row>
    <row r="182" spans="3:26" ht="18" hidden="1" outlineLevel="1" thickTop="1" x14ac:dyDescent="0.3">
      <c r="C182" s="80" t="s">
        <v>94</v>
      </c>
      <c r="R182" s="12"/>
      <c r="Z182" s="13"/>
    </row>
    <row r="183" spans="3:26" hidden="1" outlineLevel="1" x14ac:dyDescent="0.25">
      <c r="C183" s="56"/>
      <c r="D183" s="500" t="s">
        <v>95</v>
      </c>
      <c r="E183" s="500"/>
      <c r="F183" s="500"/>
      <c r="G183" s="500"/>
      <c r="H183" s="500"/>
      <c r="I183" s="500"/>
      <c r="J183" s="500"/>
      <c r="K183" s="500"/>
      <c r="L183" s="61"/>
      <c r="M183" s="499" t="s">
        <v>96</v>
      </c>
      <c r="N183" s="499"/>
      <c r="O183" s="499"/>
      <c r="P183" s="499"/>
      <c r="R183" s="12"/>
      <c r="Z183" s="13"/>
    </row>
    <row r="184" spans="3:26" hidden="1" outlineLevel="1" x14ac:dyDescent="0.25">
      <c r="C184" s="56"/>
      <c r="D184" s="500" t="s">
        <v>42</v>
      </c>
      <c r="E184" s="500"/>
      <c r="F184" s="500"/>
      <c r="G184" s="500"/>
      <c r="H184" s="500" t="s">
        <v>43</v>
      </c>
      <c r="I184" s="500"/>
      <c r="J184" s="500"/>
      <c r="K184" s="500"/>
      <c r="L184" s="61"/>
      <c r="M184" s="62" t="s">
        <v>44</v>
      </c>
      <c r="N184" s="62" t="s">
        <v>45</v>
      </c>
      <c r="O184" s="62" t="s">
        <v>46</v>
      </c>
      <c r="P184" s="62" t="s">
        <v>47</v>
      </c>
      <c r="R184" s="12"/>
      <c r="Z184" s="13"/>
    </row>
    <row r="185" spans="3:26" hidden="1" outlineLevel="1" x14ac:dyDescent="0.25">
      <c r="C185" s="76"/>
      <c r="D185" s="77">
        <f>StartDate</f>
        <v>46023</v>
      </c>
      <c r="E185" s="77">
        <f>EDATE(D185,3)</f>
        <v>46113</v>
      </c>
      <c r="F185" s="77">
        <f t="shared" ref="F185:K185" si="75">EDATE(E185,3)</f>
        <v>46204</v>
      </c>
      <c r="G185" s="77">
        <f t="shared" si="75"/>
        <v>46296</v>
      </c>
      <c r="H185" s="77">
        <f t="shared" si="75"/>
        <v>46388</v>
      </c>
      <c r="I185" s="77">
        <f t="shared" si="75"/>
        <v>46478</v>
      </c>
      <c r="J185" s="77">
        <f t="shared" si="75"/>
        <v>46569</v>
      </c>
      <c r="K185" s="77">
        <f t="shared" si="75"/>
        <v>46661</v>
      </c>
      <c r="L185" s="61"/>
      <c r="M185" s="77">
        <f>EDATE(K185,3)</f>
        <v>46753</v>
      </c>
      <c r="N185" s="77">
        <f t="shared" ref="N185:P185" si="76">EDATE(M185,12)</f>
        <v>47119</v>
      </c>
      <c r="O185" s="77">
        <f t="shared" si="76"/>
        <v>47484</v>
      </c>
      <c r="P185" s="77">
        <f t="shared" si="76"/>
        <v>47849</v>
      </c>
      <c r="R185" s="12"/>
      <c r="Z185" s="13"/>
    </row>
    <row r="186" spans="3:26" hidden="1" outlineLevel="1" x14ac:dyDescent="0.25">
      <c r="C186" s="59" t="str">
        <f>D179</f>
        <v>Free Tier</v>
      </c>
      <c r="D186" s="109">
        <f>D153*(1-$D$180)</f>
        <v>0</v>
      </c>
      <c r="E186" s="109">
        <f t="shared" ref="E186:K186" si="77">E153*(1-$D$180)</f>
        <v>0</v>
      </c>
      <c r="F186" s="109">
        <f t="shared" si="77"/>
        <v>0</v>
      </c>
      <c r="G186" s="109">
        <f t="shared" si="77"/>
        <v>0</v>
      </c>
      <c r="H186" s="109">
        <f t="shared" si="77"/>
        <v>0</v>
      </c>
      <c r="I186" s="109">
        <f t="shared" si="77"/>
        <v>0</v>
      </c>
      <c r="J186" s="109">
        <f t="shared" si="77"/>
        <v>0</v>
      </c>
      <c r="K186" s="109">
        <f t="shared" si="77"/>
        <v>0</v>
      </c>
      <c r="L186" s="61"/>
      <c r="M186" s="109">
        <f>M153*(1-$D$180)</f>
        <v>0</v>
      </c>
      <c r="N186" s="109">
        <f t="shared" ref="N186:P186" si="78">N153*(1-$D$180)</f>
        <v>0</v>
      </c>
      <c r="O186" s="109">
        <f t="shared" si="78"/>
        <v>0</v>
      </c>
      <c r="P186" s="109">
        <f t="shared" si="78"/>
        <v>0</v>
      </c>
      <c r="R186" s="12"/>
      <c r="Z186" s="13"/>
    </row>
    <row r="187" spans="3:26" hidden="1" outlineLevel="1" x14ac:dyDescent="0.25">
      <c r="C187" s="59" t="str">
        <f>H179</f>
        <v>Professional</v>
      </c>
      <c r="D187" s="109">
        <f>D154*(1-$H$180)</f>
        <v>0</v>
      </c>
      <c r="E187" s="109">
        <f t="shared" ref="E187:K187" si="79">E154*(1-$H$180)</f>
        <v>0</v>
      </c>
      <c r="F187" s="109">
        <f t="shared" si="79"/>
        <v>0</v>
      </c>
      <c r="G187" s="109">
        <f t="shared" si="79"/>
        <v>0</v>
      </c>
      <c r="H187" s="109">
        <f t="shared" si="79"/>
        <v>4597.2529200000008</v>
      </c>
      <c r="I187" s="109">
        <f t="shared" si="79"/>
        <v>5321.8949115150017</v>
      </c>
      <c r="J187" s="109">
        <f t="shared" si="79"/>
        <v>6160.7585969425554</v>
      </c>
      <c r="K187" s="109">
        <f t="shared" si="79"/>
        <v>7131.8481707856272</v>
      </c>
      <c r="L187" s="61"/>
      <c r="M187" s="109">
        <f>M154*(1-$H$180)</f>
        <v>60718.615106503559</v>
      </c>
      <c r="N187" s="109">
        <f t="shared" ref="N187:P187" si="80">N154*(1-$H$180)</f>
        <v>109041.90904631729</v>
      </c>
      <c r="O187" s="109">
        <f t="shared" si="80"/>
        <v>195823.60216235864</v>
      </c>
      <c r="P187" s="109">
        <f t="shared" si="80"/>
        <v>351671.05472771259</v>
      </c>
      <c r="R187" s="12"/>
      <c r="Z187" s="13"/>
    </row>
    <row r="188" spans="3:26" ht="15.75" hidden="1" outlineLevel="1" thickBot="1" x14ac:dyDescent="0.3">
      <c r="C188" s="111" t="str">
        <f>L179</f>
        <v>Premium</v>
      </c>
      <c r="D188" s="112">
        <f>D155*(1-$L$180)</f>
        <v>0</v>
      </c>
      <c r="E188" s="112">
        <f t="shared" ref="E188:K188" si="81">E155*(1-$L$180)</f>
        <v>0</v>
      </c>
      <c r="F188" s="112">
        <f t="shared" si="81"/>
        <v>0</v>
      </c>
      <c r="G188" s="112">
        <f t="shared" si="81"/>
        <v>0</v>
      </c>
      <c r="H188" s="112">
        <f t="shared" si="81"/>
        <v>3891.7801649999997</v>
      </c>
      <c r="I188" s="112">
        <f t="shared" si="81"/>
        <v>4505.2220135081252</v>
      </c>
      <c r="J188" s="112">
        <f t="shared" si="81"/>
        <v>5215.3576333873452</v>
      </c>
      <c r="K188" s="112">
        <f t="shared" si="81"/>
        <v>6037.4283803500248</v>
      </c>
      <c r="L188" s="61"/>
      <c r="M188" s="112">
        <f>M155*(1-$L$180)</f>
        <v>52580.010039215063</v>
      </c>
      <c r="N188" s="112">
        <f t="shared" ref="N188:P188" si="82">N155*(1-$L$180)</f>
        <v>94426.143651231483</v>
      </c>
      <c r="O188" s="112">
        <f t="shared" si="82"/>
        <v>169575.7874179385</v>
      </c>
      <c r="P188" s="112">
        <f t="shared" si="82"/>
        <v>304533.75057468878</v>
      </c>
      <c r="R188" s="35"/>
      <c r="S188" s="36"/>
      <c r="T188" s="36"/>
      <c r="U188" s="36"/>
      <c r="V188" s="36"/>
      <c r="W188" s="36"/>
      <c r="X188" s="36"/>
      <c r="Y188" s="36"/>
      <c r="Z188" s="37"/>
    </row>
    <row r="189" spans="3:26" ht="16.5" hidden="1" outlineLevel="1" thickTop="1" thickBot="1" x14ac:dyDescent="0.3">
      <c r="C189" s="98" t="s">
        <v>58</v>
      </c>
      <c r="D189" s="99">
        <f>SUM(D186:D188)</f>
        <v>0</v>
      </c>
      <c r="E189" s="99">
        <f t="shared" ref="E189:P189" si="83">SUM(E186:E188)</f>
        <v>0</v>
      </c>
      <c r="F189" s="99">
        <f t="shared" si="83"/>
        <v>0</v>
      </c>
      <c r="G189" s="99">
        <f t="shared" si="83"/>
        <v>0</v>
      </c>
      <c r="H189" s="99">
        <f t="shared" si="83"/>
        <v>8489.0330850000009</v>
      </c>
      <c r="I189" s="99">
        <f t="shared" si="83"/>
        <v>9827.1169250231269</v>
      </c>
      <c r="J189" s="99">
        <f t="shared" si="83"/>
        <v>11376.116230329901</v>
      </c>
      <c r="K189" s="100">
        <f t="shared" si="83"/>
        <v>13169.276551135652</v>
      </c>
      <c r="L189" s="61"/>
      <c r="M189" s="101">
        <f t="shared" si="83"/>
        <v>113298.62514571863</v>
      </c>
      <c r="N189" s="99">
        <f t="shared" si="83"/>
        <v>203468.05269754876</v>
      </c>
      <c r="O189" s="99">
        <f t="shared" si="83"/>
        <v>365399.38958029717</v>
      </c>
      <c r="P189" s="100">
        <f t="shared" si="83"/>
        <v>656204.80530240131</v>
      </c>
      <c r="R189" s="41"/>
      <c r="S189" s="42"/>
      <c r="T189" s="42"/>
      <c r="U189" s="42"/>
      <c r="V189" s="42"/>
      <c r="W189" s="42"/>
      <c r="X189" s="42"/>
      <c r="Y189" s="42"/>
      <c r="Z189" s="43"/>
    </row>
    <row r="190" spans="3:26" ht="18" hidden="1" outlineLevel="1" thickBot="1" x14ac:dyDescent="0.35">
      <c r="R190" s="12"/>
      <c r="S190" s="17" t="s">
        <v>48</v>
      </c>
      <c r="Z190" s="13"/>
    </row>
    <row r="191" spans="3:26" ht="15.75" hidden="1" outlineLevel="1" thickTop="1" x14ac:dyDescent="0.25">
      <c r="K191" s="125"/>
      <c r="L191" s="125"/>
      <c r="R191" s="12"/>
      <c r="Z191" s="13"/>
    </row>
    <row r="192" spans="3:26" ht="20.25" hidden="1" outlineLevel="1" thickBot="1" x14ac:dyDescent="0.35">
      <c r="C192" s="26" t="s">
        <v>97</v>
      </c>
      <c r="R192" s="12"/>
      <c r="S192" s="81"/>
      <c r="T192" s="499" t="s">
        <v>52</v>
      </c>
      <c r="U192" s="499"/>
      <c r="V192" s="499"/>
      <c r="W192" s="499"/>
      <c r="X192" s="499"/>
      <c r="Y192" s="499"/>
      <c r="Z192" s="13"/>
    </row>
    <row r="193" spans="3:26" ht="21" hidden="1" outlineLevel="1" thickTop="1" thickBot="1" x14ac:dyDescent="0.35">
      <c r="C193" s="26"/>
      <c r="R193" s="12"/>
      <c r="S193" s="81"/>
      <c r="T193" s="62" t="s">
        <v>42</v>
      </c>
      <c r="U193" s="62" t="s">
        <v>43</v>
      </c>
      <c r="V193" s="62" t="s">
        <v>44</v>
      </c>
      <c r="W193" s="62" t="s">
        <v>45</v>
      </c>
      <c r="X193" s="62" t="s">
        <v>46</v>
      </c>
      <c r="Y193" s="62" t="s">
        <v>47</v>
      </c>
      <c r="Z193" s="13"/>
    </row>
    <row r="194" spans="3:26" ht="18" hidden="1" outlineLevel="1" thickTop="1" x14ac:dyDescent="0.3">
      <c r="C194" s="80" t="str">
        <f>"Bottom-up Assumptions - Unit Costs to Manufacture (in "&amp;SubHeader&amp;")"</f>
        <v>Bottom-up Assumptions - Unit Costs to Manufacture (in EUR)</v>
      </c>
      <c r="D194" s="14"/>
      <c r="E194" s="15"/>
      <c r="F194" s="15"/>
      <c r="G194" s="15"/>
      <c r="H194" s="15"/>
      <c r="I194" s="15"/>
      <c r="J194" s="16"/>
      <c r="K194" s="16"/>
      <c r="L194" s="16"/>
      <c r="M194" s="16"/>
      <c r="N194" s="16"/>
      <c r="O194" s="16"/>
      <c r="P194" s="16"/>
      <c r="R194" s="12"/>
      <c r="S194" s="81"/>
      <c r="T194" s="77">
        <f>D185</f>
        <v>46023</v>
      </c>
      <c r="U194" s="77">
        <f>H185</f>
        <v>46388</v>
      </c>
      <c r="V194" s="77">
        <f>M185</f>
        <v>46753</v>
      </c>
      <c r="W194" s="77">
        <f t="shared" ref="W194:Y194" si="84">EDATE(V194,12)</f>
        <v>47119</v>
      </c>
      <c r="X194" s="77">
        <f t="shared" si="84"/>
        <v>47484</v>
      </c>
      <c r="Y194" s="77">
        <f t="shared" si="84"/>
        <v>47849</v>
      </c>
      <c r="Z194" s="13"/>
    </row>
    <row r="195" spans="3:26" ht="15.75" hidden="1" outlineLevel="1" x14ac:dyDescent="0.25">
      <c r="C195" s="88"/>
      <c r="D195" s="66" t="str">
        <f>C186</f>
        <v>Free Tier</v>
      </c>
      <c r="E195" s="512" t="s">
        <v>27</v>
      </c>
      <c r="F195" s="512"/>
      <c r="G195" s="512"/>
      <c r="H195" s="66" t="str">
        <f>C187</f>
        <v>Professional</v>
      </c>
      <c r="I195" s="512" t="s">
        <v>27</v>
      </c>
      <c r="J195" s="512"/>
      <c r="K195" s="512"/>
      <c r="L195" s="66" t="str">
        <f>C188</f>
        <v>Premium</v>
      </c>
      <c r="M195" s="512" t="s">
        <v>27</v>
      </c>
      <c r="N195" s="512"/>
      <c r="O195" s="512"/>
      <c r="R195" s="12"/>
      <c r="S195" s="59" t="str">
        <f>C186</f>
        <v>Free Tier</v>
      </c>
      <c r="T195" s="60">
        <f>SUM(D186:G186)</f>
        <v>0</v>
      </c>
      <c r="U195" s="60">
        <f>SUM(H186:K186)</f>
        <v>0</v>
      </c>
      <c r="V195" s="60">
        <f t="shared" ref="V195:Y197" si="85">M186</f>
        <v>0</v>
      </c>
      <c r="W195" s="60">
        <f t="shared" si="85"/>
        <v>0</v>
      </c>
      <c r="X195" s="60">
        <f t="shared" si="85"/>
        <v>0</v>
      </c>
      <c r="Y195" s="60">
        <f t="shared" si="85"/>
        <v>0</v>
      </c>
      <c r="Z195" s="13"/>
    </row>
    <row r="196" spans="3:26" hidden="1" outlineLevel="1" x14ac:dyDescent="0.25">
      <c r="C196" s="446" t="s">
        <v>98</v>
      </c>
      <c r="D196" s="140">
        <v>2.4</v>
      </c>
      <c r="E196" s="432" t="s">
        <v>99</v>
      </c>
      <c r="F196" s="433"/>
      <c r="G196" s="434"/>
      <c r="H196" s="140">
        <v>3.6</v>
      </c>
      <c r="I196" s="432" t="s">
        <v>100</v>
      </c>
      <c r="J196" s="433"/>
      <c r="K196" s="434"/>
      <c r="L196" s="140">
        <v>4.8</v>
      </c>
      <c r="M196" s="432" t="s">
        <v>101</v>
      </c>
      <c r="N196" s="433"/>
      <c r="O196" s="434"/>
      <c r="R196" s="12"/>
      <c r="S196" s="59" t="str">
        <f>C187</f>
        <v>Professional</v>
      </c>
      <c r="T196" s="60">
        <f t="shared" ref="T196:T197" si="86">SUM(D187:G187)</f>
        <v>0</v>
      </c>
      <c r="U196" s="60">
        <f t="shared" ref="U196:U197" si="87">SUM(H187:K187)</f>
        <v>23211.754599243184</v>
      </c>
      <c r="V196" s="60">
        <f t="shared" si="85"/>
        <v>60718.615106503559</v>
      </c>
      <c r="W196" s="60">
        <f t="shared" si="85"/>
        <v>109041.90904631729</v>
      </c>
      <c r="X196" s="60">
        <f t="shared" si="85"/>
        <v>195823.60216235864</v>
      </c>
      <c r="Y196" s="60">
        <f t="shared" si="85"/>
        <v>351671.05472771259</v>
      </c>
      <c r="Z196" s="13"/>
    </row>
    <row r="197" spans="3:26" hidden="1" outlineLevel="1" x14ac:dyDescent="0.25">
      <c r="C197" s="446" t="s">
        <v>102</v>
      </c>
      <c r="D197" s="140">
        <v>3</v>
      </c>
      <c r="E197" s="432" t="s">
        <v>103</v>
      </c>
      <c r="F197" s="433"/>
      <c r="G197" s="434"/>
      <c r="H197" s="140">
        <v>4.8</v>
      </c>
      <c r="I197" s="432" t="s">
        <v>104</v>
      </c>
      <c r="J197" s="433"/>
      <c r="K197" s="434"/>
      <c r="L197" s="140">
        <v>6</v>
      </c>
      <c r="M197" s="432" t="s">
        <v>105</v>
      </c>
      <c r="N197" s="433"/>
      <c r="O197" s="434"/>
      <c r="R197" s="12"/>
      <c r="S197" s="59" t="str">
        <f>C188</f>
        <v>Premium</v>
      </c>
      <c r="T197" s="60">
        <f t="shared" si="86"/>
        <v>0</v>
      </c>
      <c r="U197" s="60">
        <f t="shared" si="87"/>
        <v>19649.788192245494</v>
      </c>
      <c r="V197" s="60">
        <f t="shared" si="85"/>
        <v>52580.010039215063</v>
      </c>
      <c r="W197" s="60">
        <f t="shared" si="85"/>
        <v>94426.143651231483</v>
      </c>
      <c r="X197" s="60">
        <f t="shared" si="85"/>
        <v>169575.7874179385</v>
      </c>
      <c r="Y197" s="60">
        <f t="shared" si="85"/>
        <v>304533.75057468878</v>
      </c>
      <c r="Z197" s="13"/>
    </row>
    <row r="198" spans="3:26" hidden="1" outlineLevel="1" x14ac:dyDescent="0.25">
      <c r="C198" s="446" t="s">
        <v>106</v>
      </c>
      <c r="D198" s="140">
        <v>1.2</v>
      </c>
      <c r="E198" s="432" t="s">
        <v>107</v>
      </c>
      <c r="F198" s="433"/>
      <c r="G198" s="434"/>
      <c r="H198" s="140">
        <v>3.6</v>
      </c>
      <c r="I198" s="432" t="s">
        <v>108</v>
      </c>
      <c r="J198" s="433"/>
      <c r="K198" s="434"/>
      <c r="L198" s="140">
        <v>6</v>
      </c>
      <c r="M198" s="432" t="s">
        <v>109</v>
      </c>
      <c r="N198" s="433"/>
      <c r="O198" s="434"/>
      <c r="R198" s="12"/>
      <c r="S198" s="81"/>
      <c r="T198" s="79">
        <f t="shared" ref="T198:Y198" si="88">SUM(T195:T197)</f>
        <v>0</v>
      </c>
      <c r="U198" s="79">
        <f t="shared" si="88"/>
        <v>42861.542791488682</v>
      </c>
      <c r="V198" s="79">
        <f t="shared" si="88"/>
        <v>113298.62514571863</v>
      </c>
      <c r="W198" s="79">
        <f t="shared" si="88"/>
        <v>203468.05269754876</v>
      </c>
      <c r="X198" s="79">
        <f t="shared" si="88"/>
        <v>365399.38958029717</v>
      </c>
      <c r="Y198" s="79">
        <f t="shared" si="88"/>
        <v>656204.80530240131</v>
      </c>
      <c r="Z198" s="13"/>
    </row>
    <row r="199" spans="3:26" hidden="1" outlineLevel="1" x14ac:dyDescent="0.25">
      <c r="C199" s="446" t="s">
        <v>110</v>
      </c>
      <c r="D199" s="140">
        <v>0.6</v>
      </c>
      <c r="E199" s="432" t="s">
        <v>111</v>
      </c>
      <c r="F199" s="433"/>
      <c r="G199" s="434"/>
      <c r="H199" s="140">
        <v>3</v>
      </c>
      <c r="I199" s="432" t="s">
        <v>112</v>
      </c>
      <c r="J199" s="433"/>
      <c r="K199" s="434"/>
      <c r="L199" s="140">
        <v>6</v>
      </c>
      <c r="M199" s="432" t="s">
        <v>113</v>
      </c>
      <c r="N199" s="433"/>
      <c r="O199" s="434"/>
      <c r="R199" s="12"/>
      <c r="Z199" s="13"/>
    </row>
    <row r="200" spans="3:26" hidden="1" outlineLevel="1" x14ac:dyDescent="0.25">
      <c r="C200" s="446" t="s">
        <v>114</v>
      </c>
      <c r="D200" s="140">
        <v>0</v>
      </c>
      <c r="E200" s="432" t="s">
        <v>115</v>
      </c>
      <c r="F200" s="433"/>
      <c r="G200" s="434"/>
      <c r="H200" s="140">
        <v>0</v>
      </c>
      <c r="I200" s="432" t="s">
        <v>116</v>
      </c>
      <c r="J200" s="433"/>
      <c r="K200" s="434"/>
      <c r="L200" s="140">
        <v>9</v>
      </c>
      <c r="M200" s="432" t="s">
        <v>117</v>
      </c>
      <c r="N200" s="433"/>
      <c r="O200" s="434"/>
      <c r="R200" s="12"/>
      <c r="Z200" s="13"/>
    </row>
    <row r="201" spans="3:26" hidden="1" outlineLevel="1" x14ac:dyDescent="0.25">
      <c r="C201" s="446" t="s">
        <v>118</v>
      </c>
      <c r="D201" s="140">
        <v>0</v>
      </c>
      <c r="E201" s="432" t="s">
        <v>116</v>
      </c>
      <c r="F201" s="433"/>
      <c r="G201" s="434"/>
      <c r="H201" s="140">
        <v>2.4</v>
      </c>
      <c r="I201" s="432" t="s">
        <v>119</v>
      </c>
      <c r="J201" s="433"/>
      <c r="K201" s="434"/>
      <c r="L201" s="140">
        <v>4.8</v>
      </c>
      <c r="M201" s="432" t="s">
        <v>120</v>
      </c>
      <c r="N201" s="433"/>
      <c r="O201" s="434"/>
      <c r="R201" s="12"/>
      <c r="Z201" s="13"/>
    </row>
    <row r="202" spans="3:26" hidden="1" outlineLevel="1" x14ac:dyDescent="0.25">
      <c r="C202" s="446" t="s">
        <v>121</v>
      </c>
      <c r="D202" s="141">
        <v>0</v>
      </c>
      <c r="E202" s="432" t="s">
        <v>122</v>
      </c>
      <c r="F202" s="433"/>
      <c r="G202" s="434"/>
      <c r="H202" s="141">
        <v>3</v>
      </c>
      <c r="I202" s="432" t="s">
        <v>123</v>
      </c>
      <c r="J202" s="433"/>
      <c r="K202" s="434"/>
      <c r="L202" s="141">
        <v>6</v>
      </c>
      <c r="M202" s="432" t="s">
        <v>124</v>
      </c>
      <c r="N202" s="433"/>
      <c r="O202" s="434"/>
      <c r="R202" s="12"/>
      <c r="Z202" s="13"/>
    </row>
    <row r="203" spans="3:26" hidden="1" outlineLevel="1" x14ac:dyDescent="0.25">
      <c r="C203" s="446" t="s">
        <v>125</v>
      </c>
      <c r="D203" s="141">
        <v>0.6</v>
      </c>
      <c r="E203" s="432" t="s">
        <v>126</v>
      </c>
      <c r="F203" s="433"/>
      <c r="G203" s="434"/>
      <c r="H203" s="141">
        <v>1.2</v>
      </c>
      <c r="I203" s="432" t="s">
        <v>127</v>
      </c>
      <c r="J203" s="433"/>
      <c r="K203" s="434"/>
      <c r="L203" s="141">
        <v>1.8</v>
      </c>
      <c r="M203" s="432" t="s">
        <v>128</v>
      </c>
      <c r="N203" s="433"/>
      <c r="O203" s="434"/>
      <c r="R203" s="12"/>
      <c r="Z203" s="13"/>
    </row>
    <row r="204" spans="3:26" hidden="1" outlineLevel="1" x14ac:dyDescent="0.25">
      <c r="C204" s="446" t="s">
        <v>129</v>
      </c>
      <c r="D204" s="141">
        <v>1.2</v>
      </c>
      <c r="E204" s="432" t="s">
        <v>130</v>
      </c>
      <c r="F204" s="433"/>
      <c r="G204" s="434"/>
      <c r="H204" s="141">
        <v>2.4</v>
      </c>
      <c r="I204" s="432" t="s">
        <v>131</v>
      </c>
      <c r="J204" s="433"/>
      <c r="K204" s="434"/>
      <c r="L204" s="141">
        <v>3.6</v>
      </c>
      <c r="M204" s="432" t="s">
        <v>132</v>
      </c>
      <c r="N204" s="433"/>
      <c r="O204" s="434"/>
      <c r="R204" s="12"/>
      <c r="Z204" s="13"/>
    </row>
    <row r="205" spans="3:26" hidden="1" outlineLevel="1" x14ac:dyDescent="0.25">
      <c r="C205" s="446" t="s">
        <v>133</v>
      </c>
      <c r="D205" s="140">
        <v>0.6</v>
      </c>
      <c r="E205" s="432" t="s">
        <v>134</v>
      </c>
      <c r="F205" s="433"/>
      <c r="G205" s="434"/>
      <c r="H205" s="140">
        <v>6</v>
      </c>
      <c r="I205" s="432" t="s">
        <v>135</v>
      </c>
      <c r="J205" s="433"/>
      <c r="K205" s="434"/>
      <c r="L205" s="140">
        <v>14.4</v>
      </c>
      <c r="M205" s="432" t="s">
        <v>136</v>
      </c>
      <c r="N205" s="433"/>
      <c r="O205" s="434"/>
      <c r="R205" s="12"/>
      <c r="Z205" s="13"/>
    </row>
    <row r="206" spans="3:26" hidden="1" outlineLevel="1" x14ac:dyDescent="0.25">
      <c r="C206" s="142" t="s">
        <v>137</v>
      </c>
      <c r="D206" s="128">
        <f>SUM(D196:D205)</f>
        <v>9.6</v>
      </c>
      <c r="E206" s="519"/>
      <c r="F206" s="520"/>
      <c r="G206" s="521"/>
      <c r="H206" s="128">
        <f>SUM(H196:H205)</f>
        <v>29.999999999999996</v>
      </c>
      <c r="I206" s="519"/>
      <c r="J206" s="520"/>
      <c r="K206" s="521"/>
      <c r="L206" s="128">
        <f>SUM(L196:L205)</f>
        <v>62.4</v>
      </c>
      <c r="M206" s="519"/>
      <c r="N206" s="520"/>
      <c r="O206" s="521"/>
      <c r="R206" s="12"/>
      <c r="Z206" s="13"/>
    </row>
    <row r="207" spans="3:26" hidden="1" outlineLevel="1" x14ac:dyDescent="0.25">
      <c r="C207" s="21"/>
      <c r="D207" s="122"/>
      <c r="E207" s="123"/>
      <c r="F207" s="123"/>
      <c r="G207" s="123"/>
      <c r="H207" s="122"/>
      <c r="I207" s="123"/>
      <c r="J207" s="22"/>
      <c r="K207" s="22"/>
      <c r="L207" s="122"/>
      <c r="M207" s="123"/>
      <c r="N207" s="22"/>
      <c r="O207" s="22"/>
      <c r="R207" s="12"/>
      <c r="Z207" s="13"/>
    </row>
    <row r="208" spans="3:26" hidden="1" outlineLevel="1" x14ac:dyDescent="0.25">
      <c r="C208" s="81" t="s">
        <v>138</v>
      </c>
      <c r="D208" s="67">
        <v>2025</v>
      </c>
      <c r="E208" s="506"/>
      <c r="F208" s="506"/>
      <c r="G208" s="506"/>
      <c r="H208" s="67">
        <v>2025</v>
      </c>
      <c r="I208" s="506"/>
      <c r="J208" s="506"/>
      <c r="K208" s="506"/>
      <c r="L208" s="67">
        <v>2025</v>
      </c>
      <c r="M208" s="506"/>
      <c r="N208" s="506"/>
      <c r="O208" s="506"/>
      <c r="R208" s="12"/>
      <c r="Z208" s="13"/>
    </row>
    <row r="209" spans="3:26" hidden="1" outlineLevel="1" x14ac:dyDescent="0.25">
      <c r="C209" s="81" t="s">
        <v>139</v>
      </c>
      <c r="D209" s="129">
        <v>0.04</v>
      </c>
      <c r="E209" s="506" t="s">
        <v>140</v>
      </c>
      <c r="F209" s="506"/>
      <c r="G209" s="506"/>
      <c r="H209" s="129">
        <v>0.04</v>
      </c>
      <c r="I209" s="506" t="s">
        <v>140</v>
      </c>
      <c r="J209" s="506"/>
      <c r="K209" s="506"/>
      <c r="L209" s="129">
        <v>0.04</v>
      </c>
      <c r="M209" s="506"/>
      <c r="N209" s="506"/>
      <c r="O209" s="506"/>
      <c r="R209" s="12"/>
      <c r="Z209" s="13"/>
    </row>
    <row r="210" spans="3:26" hidden="1" outlineLevel="1" x14ac:dyDescent="0.25">
      <c r="D210" s="22"/>
      <c r="E210" s="22"/>
      <c r="F210" s="22"/>
      <c r="G210" s="22"/>
      <c r="H210" s="22"/>
      <c r="I210" s="22"/>
      <c r="J210" s="22"/>
      <c r="K210" s="22"/>
      <c r="L210" s="22"/>
      <c r="M210" s="22"/>
      <c r="N210" s="22"/>
      <c r="O210" s="22"/>
      <c r="P210" s="22"/>
      <c r="R210" s="12"/>
      <c r="Z210" s="13"/>
    </row>
    <row r="211" spans="3:26" hidden="1" outlineLevel="1" x14ac:dyDescent="0.25">
      <c r="D211" s="22"/>
      <c r="E211" s="22"/>
      <c r="F211" s="22"/>
      <c r="G211" s="22"/>
      <c r="H211" s="22"/>
      <c r="I211" s="22"/>
      <c r="J211" s="22"/>
      <c r="K211" s="22"/>
      <c r="L211" s="22"/>
      <c r="M211" s="22"/>
      <c r="N211" s="22"/>
      <c r="O211" s="22"/>
      <c r="P211" s="22"/>
      <c r="R211" s="12"/>
      <c r="Z211" s="13"/>
    </row>
    <row r="212" spans="3:26" hidden="1" outlineLevel="1" x14ac:dyDescent="0.25">
      <c r="D212" s="22"/>
      <c r="E212" s="22"/>
      <c r="F212" s="22"/>
      <c r="G212" s="22"/>
      <c r="H212" s="22"/>
      <c r="I212" s="22"/>
      <c r="J212" s="22"/>
      <c r="K212" s="22"/>
      <c r="L212" s="22"/>
      <c r="M212" s="22"/>
      <c r="N212" s="22"/>
      <c r="O212" s="22"/>
      <c r="P212" s="22"/>
      <c r="R212" s="12"/>
      <c r="Z212" s="13"/>
    </row>
    <row r="213" spans="3:26" ht="17.25" hidden="1" outlineLevel="1" x14ac:dyDescent="0.3">
      <c r="C213" s="80" t="s">
        <v>141</v>
      </c>
      <c r="D213" s="22"/>
      <c r="E213" s="22"/>
      <c r="F213" s="22"/>
      <c r="G213" s="22"/>
      <c r="H213" s="22"/>
      <c r="I213" s="22"/>
      <c r="J213" s="22"/>
      <c r="K213" s="22"/>
      <c r="L213" s="22"/>
      <c r="M213" s="22"/>
      <c r="N213" s="22"/>
      <c r="O213" s="22"/>
      <c r="P213" s="22"/>
      <c r="R213" s="12"/>
      <c r="Z213" s="13"/>
    </row>
    <row r="214" spans="3:26" hidden="1" outlineLevel="1" x14ac:dyDescent="0.25">
      <c r="C214" s="81"/>
      <c r="D214" s="500" t="s">
        <v>95</v>
      </c>
      <c r="E214" s="500"/>
      <c r="F214" s="500"/>
      <c r="G214" s="500"/>
      <c r="H214" s="500"/>
      <c r="I214" s="500"/>
      <c r="J214" s="500"/>
      <c r="K214" s="500"/>
      <c r="L214" s="61"/>
      <c r="M214" s="499" t="s">
        <v>96</v>
      </c>
      <c r="N214" s="499"/>
      <c r="O214" s="499"/>
      <c r="P214" s="499"/>
      <c r="R214" s="12"/>
      <c r="Z214" s="13"/>
    </row>
    <row r="215" spans="3:26" hidden="1" outlineLevel="1" x14ac:dyDescent="0.25">
      <c r="C215" s="56"/>
      <c r="D215" s="500" t="s">
        <v>42</v>
      </c>
      <c r="E215" s="500"/>
      <c r="F215" s="500"/>
      <c r="G215" s="500"/>
      <c r="H215" s="500" t="s">
        <v>43</v>
      </c>
      <c r="I215" s="500"/>
      <c r="J215" s="500"/>
      <c r="K215" s="500"/>
      <c r="L215" s="61"/>
      <c r="M215" s="62" t="s">
        <v>44</v>
      </c>
      <c r="N215" s="62" t="s">
        <v>45</v>
      </c>
      <c r="O215" s="62" t="s">
        <v>46</v>
      </c>
      <c r="P215" s="62" t="s">
        <v>47</v>
      </c>
      <c r="R215" s="12"/>
      <c r="Z215" s="13"/>
    </row>
    <row r="216" spans="3:26" hidden="1" outlineLevel="1" x14ac:dyDescent="0.25">
      <c r="C216" s="76"/>
      <c r="D216" s="77">
        <f>StartDate</f>
        <v>46023</v>
      </c>
      <c r="E216" s="77">
        <f>EDATE(D216,3)</f>
        <v>46113</v>
      </c>
      <c r="F216" s="77">
        <f t="shared" ref="F216:K216" si="89">EDATE(E216,3)</f>
        <v>46204</v>
      </c>
      <c r="G216" s="77">
        <f t="shared" si="89"/>
        <v>46296</v>
      </c>
      <c r="H216" s="77">
        <f t="shared" si="89"/>
        <v>46388</v>
      </c>
      <c r="I216" s="77">
        <f t="shared" si="89"/>
        <v>46478</v>
      </c>
      <c r="J216" s="77">
        <f t="shared" si="89"/>
        <v>46569</v>
      </c>
      <c r="K216" s="77">
        <f t="shared" si="89"/>
        <v>46661</v>
      </c>
      <c r="L216" s="61"/>
      <c r="M216" s="77">
        <f>EDATE(K216,3)</f>
        <v>46753</v>
      </c>
      <c r="N216" s="77">
        <f t="shared" ref="N216:P216" si="90">EDATE(M216,12)</f>
        <v>47119</v>
      </c>
      <c r="O216" s="77">
        <f t="shared" si="90"/>
        <v>47484</v>
      </c>
      <c r="P216" s="77">
        <f t="shared" si="90"/>
        <v>47849</v>
      </c>
      <c r="R216" s="12"/>
      <c r="Z216" s="13"/>
    </row>
    <row r="217" spans="3:26" hidden="1" outlineLevel="1" x14ac:dyDescent="0.25">
      <c r="C217" s="59" t="str">
        <f>D195</f>
        <v>Free Tier</v>
      </c>
      <c r="D217" s="109">
        <f>$D$206*D83*(1+$D$209)^(YEAR(D216)-$D$208)</f>
        <v>0</v>
      </c>
      <c r="E217" s="109">
        <f t="shared" ref="E217:J217" si="91">$D$206*E83*(1+$D$209)^(YEAR(E216)-$D$208)</f>
        <v>0</v>
      </c>
      <c r="F217" s="109">
        <f t="shared" si="91"/>
        <v>0</v>
      </c>
      <c r="G217" s="109">
        <f t="shared" si="91"/>
        <v>0</v>
      </c>
      <c r="H217" s="109">
        <f>$D$206*H83*(1+$D$209)^(YEAR(H216)-$D$208)</f>
        <v>982.00627199999997</v>
      </c>
      <c r="I217" s="109">
        <f t="shared" si="91"/>
        <v>1136.795010624</v>
      </c>
      <c r="J217" s="109">
        <f t="shared" si="91"/>
        <v>1315.9823241736087</v>
      </c>
      <c r="K217" s="109">
        <f>$D$206*K83*(1+$D$209)^(YEAR(K216)-$D$208)</f>
        <v>1523.414038021474</v>
      </c>
      <c r="L217" s="61"/>
      <c r="M217" s="109">
        <f>$D$206*M83*(1+$D$209)^(YEAR(M216)-$D$208)</f>
        <v>9260.3790303610313</v>
      </c>
      <c r="N217" s="109">
        <f t="shared" ref="N217:P217" si="92">$D$206*N83*(1+$D$209)^(YEAR(N216)-$D$208)</f>
        <v>17295.522673558</v>
      </c>
      <c r="O217" s="109">
        <f t="shared" si="92"/>
        <v>32302.684757375049</v>
      </c>
      <c r="P217" s="109">
        <f t="shared" si="92"/>
        <v>60331.419999791848</v>
      </c>
      <c r="R217" s="12"/>
      <c r="Z217" s="13"/>
    </row>
    <row r="218" spans="3:26" ht="15.75" hidden="1" outlineLevel="1" thickBot="1" x14ac:dyDescent="0.3">
      <c r="C218" s="59" t="str">
        <f>H195</f>
        <v>Professional</v>
      </c>
      <c r="D218" s="109">
        <f>$H$206*D84*(1+$H$209)^(YEAR(D216)-$H$208)</f>
        <v>0</v>
      </c>
      <c r="E218" s="109">
        <f t="shared" ref="E218:J218" si="93">$H$206*E84*(1+$H$209)^(YEAR(E216)-$H$208)</f>
        <v>0</v>
      </c>
      <c r="F218" s="109">
        <f t="shared" si="93"/>
        <v>0</v>
      </c>
      <c r="G218" s="109">
        <f t="shared" si="93"/>
        <v>0</v>
      </c>
      <c r="H218" s="109">
        <f t="shared" si="93"/>
        <v>613.75391999999999</v>
      </c>
      <c r="I218" s="109">
        <f t="shared" si="93"/>
        <v>710.49688164000008</v>
      </c>
      <c r="J218" s="109">
        <f t="shared" si="93"/>
        <v>822.48895260850543</v>
      </c>
      <c r="K218" s="109">
        <f>$H$206*K84*(1+$H$209)^(YEAR(K216)-$H$208)</f>
        <v>952.13377376342112</v>
      </c>
      <c r="L218" s="61"/>
      <c r="M218" s="109">
        <f>$H$206*M84*(1+$H$209)^(YEAR(M216)-$H$208)</f>
        <v>8430.4562386642137</v>
      </c>
      <c r="N218" s="109">
        <f t="shared" ref="N218:P218" si="94">$H$206*N84*(1+$H$209)^(YEAR(N216)-$H$208)</f>
        <v>15745.483694156181</v>
      </c>
      <c r="O218" s="109">
        <f t="shared" si="94"/>
        <v>29407.691558365823</v>
      </c>
      <c r="P218" s="109">
        <f t="shared" si="94"/>
        <v>54924.468475550799</v>
      </c>
      <c r="R218" s="35"/>
      <c r="S218" s="36"/>
      <c r="T218" s="36"/>
      <c r="U218" s="36"/>
      <c r="V218" s="36"/>
      <c r="W218" s="36"/>
      <c r="X218" s="36"/>
      <c r="Y218" s="36"/>
      <c r="Z218" s="37"/>
    </row>
    <row r="219" spans="3:26" ht="25.5" hidden="1" outlineLevel="1" thickTop="1" thickBot="1" x14ac:dyDescent="0.45">
      <c r="C219" s="111" t="str">
        <f>L195</f>
        <v>Premium</v>
      </c>
      <c r="D219" s="109">
        <f>$L$206*D85*(1+$L$209)^(YEAR(D216)-$L$208)</f>
        <v>0</v>
      </c>
      <c r="E219" s="109">
        <f t="shared" ref="E219:J219" si="95">$L$206*E85*(1+$L$209)^(YEAR(E216)-$L$208)</f>
        <v>0</v>
      </c>
      <c r="F219" s="109">
        <f t="shared" si="95"/>
        <v>0</v>
      </c>
      <c r="G219" s="109">
        <f t="shared" si="95"/>
        <v>0</v>
      </c>
      <c r="H219" s="109">
        <f t="shared" si="95"/>
        <v>425.53605119999997</v>
      </c>
      <c r="I219" s="109">
        <f t="shared" si="95"/>
        <v>492.61117127040006</v>
      </c>
      <c r="J219" s="109">
        <f t="shared" si="95"/>
        <v>570.25900714189709</v>
      </c>
      <c r="K219" s="109">
        <f>$L$206*K85*(1+$L$209)^(YEAR(K216)-$L$208)</f>
        <v>660.14608314263864</v>
      </c>
      <c r="L219" s="61"/>
      <c r="M219" s="109">
        <f>$L$206*M85*(1+$L$209)^(YEAR(M216)-$L$208)</f>
        <v>5979.1859897897639</v>
      </c>
      <c r="N219" s="109">
        <f t="shared" ref="N219:P219" si="96">$L$206*N85*(1+$L$209)^(YEAR(N216)-$L$208)</f>
        <v>11167.269343595914</v>
      </c>
      <c r="O219" s="109">
        <f t="shared" si="96"/>
        <v>20857.003746893315</v>
      </c>
      <c r="P219" s="109">
        <f t="shared" si="96"/>
        <v>38954.429405554663</v>
      </c>
      <c r="R219" s="5"/>
      <c r="S219" s="6" t="str">
        <f>CompanyName &amp;" COS Forecast - Bottom-up"</f>
        <v>Sustainsphere COS Forecast - Bottom-up</v>
      </c>
      <c r="T219" s="7"/>
      <c r="U219" s="7"/>
      <c r="V219" s="7"/>
      <c r="W219" s="7"/>
      <c r="X219" s="7"/>
      <c r="Y219" s="7"/>
      <c r="Z219" s="8"/>
    </row>
    <row r="220" spans="3:26" ht="16.5" hidden="1" outlineLevel="1" thickTop="1" thickBot="1" x14ac:dyDescent="0.3">
      <c r="C220" s="98" t="s">
        <v>58</v>
      </c>
      <c r="D220" s="99">
        <f>SUM(D217:D219)</f>
        <v>0</v>
      </c>
      <c r="E220" s="99">
        <f t="shared" ref="E220:P220" si="97">SUM(E217:E219)</f>
        <v>0</v>
      </c>
      <c r="F220" s="99">
        <f t="shared" si="97"/>
        <v>0</v>
      </c>
      <c r="G220" s="99">
        <f t="shared" si="97"/>
        <v>0</v>
      </c>
      <c r="H220" s="99">
        <f t="shared" si="97"/>
        <v>2021.2962431999999</v>
      </c>
      <c r="I220" s="99">
        <f t="shared" si="97"/>
        <v>2339.9030635344002</v>
      </c>
      <c r="J220" s="99">
        <f t="shared" si="97"/>
        <v>2708.7302839240115</v>
      </c>
      <c r="K220" s="100">
        <f t="shared" si="97"/>
        <v>3135.6938949275336</v>
      </c>
      <c r="L220" s="61"/>
      <c r="M220" s="79">
        <f t="shared" si="97"/>
        <v>23670.021258815006</v>
      </c>
      <c r="N220" s="79">
        <f>SUM(N217:N219)</f>
        <v>44208.275711310096</v>
      </c>
      <c r="O220" s="79">
        <f t="shared" si="97"/>
        <v>82567.380062634184</v>
      </c>
      <c r="P220" s="79">
        <f t="shared" si="97"/>
        <v>154210.31788089732</v>
      </c>
      <c r="R220" s="12"/>
      <c r="Z220" s="13"/>
    </row>
    <row r="221" spans="3:26" ht="18" hidden="1" outlineLevel="1" thickBot="1" x14ac:dyDescent="0.35">
      <c r="R221" s="12"/>
      <c r="S221" s="17" t="s">
        <v>24</v>
      </c>
      <c r="Z221" s="13"/>
    </row>
    <row r="222" spans="3:26" ht="15.75" hidden="1" outlineLevel="1" thickTop="1" x14ac:dyDescent="0.25">
      <c r="R222" s="12"/>
      <c r="Z222" s="13"/>
    </row>
    <row r="223" spans="3:26" ht="15.75" hidden="1" outlineLevel="1" x14ac:dyDescent="0.25">
      <c r="R223" s="19"/>
      <c r="S223" s="18"/>
      <c r="T223" s="18"/>
      <c r="U223" s="18"/>
      <c r="V223" s="18"/>
      <c r="W223" s="18"/>
      <c r="X223" s="18"/>
      <c r="Y223" s="18"/>
      <c r="Z223" s="20"/>
    </row>
    <row r="224" spans="3:26" hidden="1" outlineLevel="1" x14ac:dyDescent="0.25">
      <c r="R224" s="12"/>
      <c r="Z224" s="13"/>
    </row>
    <row r="225" spans="3:27" hidden="1" outlineLevel="1" x14ac:dyDescent="0.25">
      <c r="R225" s="12"/>
      <c r="Z225" s="13"/>
    </row>
    <row r="226" spans="3:27" hidden="1" outlineLevel="1" x14ac:dyDescent="0.25">
      <c r="R226" s="12"/>
      <c r="Z226" s="13"/>
    </row>
    <row r="227" spans="3:27" hidden="1" outlineLevel="1" x14ac:dyDescent="0.25">
      <c r="R227" s="12"/>
      <c r="Z227" s="13"/>
    </row>
    <row r="228" spans="3:27" hidden="1" outlineLevel="1" x14ac:dyDescent="0.25">
      <c r="R228" s="12"/>
      <c r="Z228" s="13"/>
    </row>
    <row r="229" spans="3:27" hidden="1" outlineLevel="1" x14ac:dyDescent="0.25">
      <c r="R229" s="12"/>
      <c r="Z229" s="13"/>
    </row>
    <row r="230" spans="3:27" hidden="1" outlineLevel="1" x14ac:dyDescent="0.25">
      <c r="R230" s="12"/>
      <c r="Z230" s="13"/>
    </row>
    <row r="231" spans="3:27" hidden="1" outlineLevel="1" x14ac:dyDescent="0.25">
      <c r="R231" s="12"/>
      <c r="Z231" s="13"/>
    </row>
    <row r="232" spans="3:27" hidden="1" outlineLevel="1" x14ac:dyDescent="0.25">
      <c r="R232" s="12"/>
      <c r="Z232" s="13"/>
    </row>
    <row r="233" spans="3:27" hidden="1" outlineLevel="1" x14ac:dyDescent="0.25">
      <c r="C233" s="105"/>
      <c r="D233" s="105"/>
      <c r="E233" s="105"/>
      <c r="F233" s="105"/>
      <c r="G233" s="105"/>
      <c r="H233" s="105"/>
      <c r="I233" s="105"/>
      <c r="J233" s="105"/>
      <c r="K233" s="105"/>
      <c r="L233" s="105"/>
      <c r="M233" s="105"/>
      <c r="N233" s="105"/>
      <c r="O233" s="105"/>
      <c r="P233" s="105"/>
      <c r="Q233" s="105"/>
      <c r="R233" s="12"/>
      <c r="Z233" s="13"/>
      <c r="AA233" s="105"/>
    </row>
    <row r="234" spans="3:27" hidden="1" outlineLevel="1" x14ac:dyDescent="0.25">
      <c r="R234" s="12"/>
      <c r="Z234" s="13"/>
    </row>
    <row r="235" spans="3:27" hidden="1" outlineLevel="1" x14ac:dyDescent="0.25">
      <c r="R235" s="12"/>
      <c r="Z235" s="13"/>
    </row>
    <row r="236" spans="3:27" hidden="1" outlineLevel="1" x14ac:dyDescent="0.25">
      <c r="R236" s="12"/>
      <c r="Z236" s="13"/>
    </row>
    <row r="237" spans="3:27" ht="15.75" hidden="1" outlineLevel="1" thickBot="1" x14ac:dyDescent="0.3">
      <c r="C237" s="106"/>
      <c r="D237" s="106"/>
      <c r="E237" s="106"/>
      <c r="F237" s="106"/>
      <c r="G237" s="106"/>
      <c r="H237" s="106"/>
      <c r="I237" s="106"/>
      <c r="J237" s="106"/>
      <c r="K237" s="106"/>
      <c r="L237" s="106"/>
      <c r="M237" s="106"/>
      <c r="N237" s="106"/>
      <c r="O237" s="106"/>
      <c r="P237" s="106"/>
      <c r="Q237" s="106"/>
      <c r="R237" s="35"/>
      <c r="S237" s="36"/>
      <c r="T237" s="36"/>
      <c r="U237" s="36"/>
      <c r="V237" s="36"/>
      <c r="W237" s="36"/>
      <c r="X237" s="36"/>
      <c r="Y237" s="36"/>
      <c r="Z237" s="37"/>
      <c r="AA237" s="106"/>
    </row>
    <row r="238" spans="3:27" ht="15.75" hidden="1" outlineLevel="1" thickTop="1" x14ac:dyDescent="0.25">
      <c r="R238" s="41"/>
      <c r="S238" s="42"/>
      <c r="T238" s="42"/>
      <c r="U238" s="42"/>
      <c r="V238" s="42"/>
      <c r="W238" s="42"/>
      <c r="X238" s="42"/>
      <c r="Y238" s="42"/>
      <c r="Z238" s="43"/>
    </row>
    <row r="239" spans="3:27" ht="18" hidden="1" outlineLevel="1" thickBot="1" x14ac:dyDescent="0.35">
      <c r="R239" s="12"/>
      <c r="S239" s="17" t="s">
        <v>48</v>
      </c>
      <c r="Z239" s="13"/>
    </row>
    <row r="240" spans="3:27" ht="15.75" hidden="1" outlineLevel="1" thickTop="1" x14ac:dyDescent="0.25">
      <c r="R240" s="12"/>
      <c r="Z240" s="13"/>
    </row>
    <row r="241" spans="18:26" hidden="1" outlineLevel="1" x14ac:dyDescent="0.25">
      <c r="R241" s="12"/>
      <c r="T241" s="514" t="s">
        <v>52</v>
      </c>
      <c r="U241" s="515"/>
      <c r="V241" s="515"/>
      <c r="W241" s="515"/>
      <c r="X241" s="515"/>
      <c r="Y241" s="516"/>
      <c r="Z241" s="13"/>
    </row>
    <row r="242" spans="18:26" hidden="1" outlineLevel="1" x14ac:dyDescent="0.25">
      <c r="R242" s="12"/>
      <c r="T242" s="28" t="s">
        <v>42</v>
      </c>
      <c r="U242" s="29" t="s">
        <v>43</v>
      </c>
      <c r="V242" s="29" t="s">
        <v>44</v>
      </c>
      <c r="W242" s="29" t="s">
        <v>45</v>
      </c>
      <c r="X242" s="29" t="s">
        <v>46</v>
      </c>
      <c r="Y242" s="30" t="s">
        <v>47</v>
      </c>
      <c r="Z242" s="13"/>
    </row>
    <row r="243" spans="18:26" hidden="1" outlineLevel="1" x14ac:dyDescent="0.25">
      <c r="R243" s="12"/>
      <c r="T243" s="44">
        <f>D216</f>
        <v>46023</v>
      </c>
      <c r="U243" s="45">
        <f>H216</f>
        <v>46388</v>
      </c>
      <c r="V243" s="45">
        <f>M216</f>
        <v>46753</v>
      </c>
      <c r="W243" s="45">
        <f t="shared" ref="W243:Y243" si="98">N216</f>
        <v>47119</v>
      </c>
      <c r="X243" s="45">
        <f t="shared" si="98"/>
        <v>47484</v>
      </c>
      <c r="Y243" s="46">
        <f t="shared" si="98"/>
        <v>47849</v>
      </c>
      <c r="Z243" s="13"/>
    </row>
    <row r="244" spans="18:26" hidden="1" outlineLevel="1" x14ac:dyDescent="0.25">
      <c r="R244" s="12"/>
      <c r="S244" s="31" t="str">
        <f t="shared" ref="S244:S246" si="99">C217</f>
        <v>Free Tier</v>
      </c>
      <c r="T244" s="32">
        <f>SUM(D217:G217)</f>
        <v>0</v>
      </c>
      <c r="U244" s="33">
        <f>SUM(H217:K217)</f>
        <v>4958.1976448190826</v>
      </c>
      <c r="V244" s="33">
        <f t="shared" ref="V244:Y246" si="100">M217</f>
        <v>9260.3790303610313</v>
      </c>
      <c r="W244" s="33">
        <f>N217</f>
        <v>17295.522673558</v>
      </c>
      <c r="X244" s="33">
        <f t="shared" si="100"/>
        <v>32302.684757375049</v>
      </c>
      <c r="Y244" s="34">
        <f t="shared" si="100"/>
        <v>60331.419999791848</v>
      </c>
      <c r="Z244" s="13"/>
    </row>
    <row r="245" spans="18:26" hidden="1" outlineLevel="1" x14ac:dyDescent="0.25">
      <c r="R245" s="12"/>
      <c r="S245" s="31" t="str">
        <f t="shared" si="99"/>
        <v>Professional</v>
      </c>
      <c r="T245" s="32">
        <f t="shared" ref="T245:T246" si="101">SUM(D218:G218)</f>
        <v>0</v>
      </c>
      <c r="U245" s="33">
        <f t="shared" ref="U245:U246" si="102">SUM(H218:K218)</f>
        <v>3098.8735280119267</v>
      </c>
      <c r="V245" s="33">
        <f t="shared" si="100"/>
        <v>8430.4562386642137</v>
      </c>
      <c r="W245" s="33">
        <f>N218</f>
        <v>15745.483694156181</v>
      </c>
      <c r="X245" s="33">
        <f t="shared" si="100"/>
        <v>29407.691558365823</v>
      </c>
      <c r="Y245" s="34">
        <f t="shared" si="100"/>
        <v>54924.468475550799</v>
      </c>
      <c r="Z245" s="13"/>
    </row>
    <row r="246" spans="18:26" ht="15.75" hidden="1" outlineLevel="1" thickBot="1" x14ac:dyDescent="0.3">
      <c r="R246" s="12"/>
      <c r="S246" s="31" t="str">
        <f t="shared" si="99"/>
        <v>Premium</v>
      </c>
      <c r="T246" s="38">
        <f t="shared" si="101"/>
        <v>0</v>
      </c>
      <c r="U246" s="39">
        <f t="shared" si="102"/>
        <v>2148.5523127549359</v>
      </c>
      <c r="V246" s="39">
        <f t="shared" si="100"/>
        <v>5979.1859897897639</v>
      </c>
      <c r="W246" s="39">
        <f t="shared" si="100"/>
        <v>11167.269343595914</v>
      </c>
      <c r="X246" s="39">
        <f t="shared" si="100"/>
        <v>20857.003746893315</v>
      </c>
      <c r="Y246" s="40">
        <f t="shared" si="100"/>
        <v>38954.429405554663</v>
      </c>
      <c r="Z246" s="13"/>
    </row>
    <row r="247" spans="18:26" ht="15.75" hidden="1" outlineLevel="1" thickTop="1" x14ac:dyDescent="0.25">
      <c r="R247" s="12"/>
      <c r="T247" s="47">
        <f t="shared" ref="T247:Y247" si="103">SUM(T244:T246)</f>
        <v>0</v>
      </c>
      <c r="U247" s="47">
        <f t="shared" si="103"/>
        <v>10205.623485585944</v>
      </c>
      <c r="V247" s="47">
        <f t="shared" si="103"/>
        <v>23670.021258815006</v>
      </c>
      <c r="W247" s="47">
        <f t="shared" si="103"/>
        <v>44208.275711310096</v>
      </c>
      <c r="X247" s="47">
        <f t="shared" si="103"/>
        <v>82567.380062634184</v>
      </c>
      <c r="Y247" s="48">
        <f t="shared" si="103"/>
        <v>154210.31788089732</v>
      </c>
      <c r="Z247" s="13"/>
    </row>
    <row r="248" spans="18:26" hidden="1" outlineLevel="1" x14ac:dyDescent="0.25">
      <c r="R248" s="12"/>
      <c r="Z248" s="13"/>
    </row>
    <row r="249" spans="18:26" hidden="1" outlineLevel="1" x14ac:dyDescent="0.25">
      <c r="R249" s="12"/>
      <c r="Z249" s="13"/>
    </row>
    <row r="250" spans="18:26" hidden="1" outlineLevel="1" x14ac:dyDescent="0.25">
      <c r="R250" s="12"/>
      <c r="Z250" s="13"/>
    </row>
    <row r="251" spans="18:26" hidden="1" outlineLevel="1" x14ac:dyDescent="0.25">
      <c r="R251" s="12"/>
      <c r="Z251" s="13"/>
    </row>
    <row r="252" spans="18:26" hidden="1" outlineLevel="1" x14ac:dyDescent="0.25">
      <c r="R252" s="12"/>
      <c r="Z252" s="13"/>
    </row>
    <row r="253" spans="18:26" hidden="1" outlineLevel="1" x14ac:dyDescent="0.25">
      <c r="R253" s="12"/>
      <c r="Z253" s="13"/>
    </row>
    <row r="254" spans="18:26" hidden="1" outlineLevel="1" x14ac:dyDescent="0.25">
      <c r="R254" s="12"/>
      <c r="Z254" s="13"/>
    </row>
    <row r="255" spans="18:26" hidden="1" outlineLevel="1" x14ac:dyDescent="0.25">
      <c r="R255" s="12"/>
      <c r="Z255" s="13"/>
    </row>
    <row r="256" spans="18:26" hidden="1" outlineLevel="1" x14ac:dyDescent="0.25">
      <c r="R256" s="12"/>
      <c r="Z256" s="13"/>
    </row>
    <row r="257" spans="2:26" hidden="1" outlineLevel="1" x14ac:dyDescent="0.25">
      <c r="R257" s="12"/>
      <c r="Z257" s="13"/>
    </row>
    <row r="258" spans="2:26" hidden="1" outlineLevel="1" x14ac:dyDescent="0.25">
      <c r="R258" s="12"/>
      <c r="Z258" s="13"/>
    </row>
    <row r="259" spans="2:26" hidden="1" outlineLevel="1" x14ac:dyDescent="0.25">
      <c r="R259" s="12"/>
      <c r="Z259" s="13"/>
    </row>
    <row r="260" spans="2:26" hidden="1" outlineLevel="1" x14ac:dyDescent="0.25">
      <c r="R260" s="12"/>
      <c r="Z260" s="13"/>
    </row>
    <row r="261" spans="2:26" hidden="1" outlineLevel="1" x14ac:dyDescent="0.25">
      <c r="R261" s="12"/>
      <c r="Z261" s="13"/>
    </row>
    <row r="262" spans="2:26" hidden="1" outlineLevel="1" x14ac:dyDescent="0.25">
      <c r="R262" s="12"/>
      <c r="Z262" s="13"/>
    </row>
    <row r="263" spans="2:26" hidden="1" outlineLevel="1" x14ac:dyDescent="0.25">
      <c r="R263" s="12"/>
      <c r="Z263" s="13"/>
    </row>
    <row r="264" spans="2:26" hidden="1" outlineLevel="1" x14ac:dyDescent="0.25">
      <c r="R264" s="12"/>
      <c r="Z264" s="13"/>
    </row>
    <row r="265" spans="2:26" hidden="1" outlineLevel="1" x14ac:dyDescent="0.25">
      <c r="R265" s="12"/>
      <c r="Z265" s="13"/>
    </row>
    <row r="266" spans="2:26" hidden="1" outlineLevel="1" x14ac:dyDescent="0.25">
      <c r="R266" s="12"/>
      <c r="Z266" s="13"/>
    </row>
    <row r="267" spans="2:26" ht="15.75" hidden="1" outlineLevel="1" thickBot="1" x14ac:dyDescent="0.3">
      <c r="R267" s="35"/>
      <c r="S267" s="36"/>
      <c r="T267" s="36"/>
      <c r="U267" s="36"/>
      <c r="V267" s="36"/>
      <c r="W267" s="36"/>
      <c r="X267" s="36"/>
      <c r="Y267" s="36"/>
      <c r="Z267" s="37"/>
    </row>
    <row r="268" spans="2:26" ht="15.75" hidden="1" outlineLevel="1" thickTop="1" x14ac:dyDescent="0.25"/>
    <row r="269" spans="2:26" ht="19.5" collapsed="1" x14ac:dyDescent="0.3">
      <c r="B269" s="360" t="s">
        <v>142</v>
      </c>
    </row>
    <row r="270" spans="2:26" ht="25.5" hidden="1" outlineLevel="1" thickTop="1" thickBot="1" x14ac:dyDescent="0.45">
      <c r="C270" s="3" t="s">
        <v>143</v>
      </c>
      <c r="D270" s="4"/>
      <c r="E270" s="4"/>
      <c r="F270" s="4"/>
      <c r="G270" s="4"/>
      <c r="H270" s="4"/>
      <c r="I270" s="4"/>
      <c r="J270" s="4"/>
      <c r="K270" s="4"/>
      <c r="L270" s="4"/>
      <c r="M270" s="4"/>
      <c r="N270" s="4"/>
      <c r="O270" s="4"/>
      <c r="P270" s="4"/>
      <c r="R270" s="5"/>
      <c r="S270" s="3" t="str">
        <f>CompanyName &amp;" Projected Payroll Charts"</f>
        <v>Sustainsphere Projected Payroll Charts</v>
      </c>
      <c r="T270" s="7"/>
      <c r="U270" s="7"/>
      <c r="V270" s="7"/>
      <c r="W270" s="7"/>
      <c r="X270" s="7"/>
      <c r="Y270" s="7"/>
      <c r="Z270" s="8"/>
    </row>
    <row r="271" spans="2:26" ht="15.75" hidden="1" outlineLevel="1" thickTop="1" x14ac:dyDescent="0.25">
      <c r="C271" s="9" t="str">
        <f>"Payroll ("&amp;SubHeader&amp;")"</f>
        <v>Payroll (EUR)</v>
      </c>
      <c r="D271" s="10"/>
      <c r="E271" s="11"/>
      <c r="F271" s="11"/>
      <c r="R271" s="12"/>
      <c r="Z271" s="13"/>
    </row>
    <row r="272" spans="2:26" ht="18" hidden="1" outlineLevel="1" thickBot="1" x14ac:dyDescent="0.35">
      <c r="D272" s="10"/>
      <c r="E272" s="15"/>
      <c r="F272" s="15"/>
      <c r="G272" s="15"/>
      <c r="H272" s="15"/>
      <c r="I272" s="15"/>
      <c r="J272" s="16"/>
      <c r="K272" s="16"/>
      <c r="L272" s="16"/>
      <c r="M272" s="16"/>
      <c r="N272" s="16"/>
      <c r="O272" s="16"/>
      <c r="P272" s="16"/>
      <c r="R272" s="12"/>
      <c r="S272" s="17" t="s">
        <v>24</v>
      </c>
      <c r="Z272" s="13"/>
    </row>
    <row r="273" spans="3:27" ht="20.25" hidden="1" outlineLevel="1" thickTop="1" x14ac:dyDescent="0.3">
      <c r="C273" s="2" t="str">
        <f>"Assumptions - Annual Payroll Needs (costs in "&amp;SubHeader&amp;")"</f>
        <v>Assumptions - Annual Payroll Needs (costs in EUR)</v>
      </c>
      <c r="D273" s="14"/>
      <c r="E273" s="15"/>
      <c r="F273" s="15"/>
      <c r="G273" s="15"/>
      <c r="H273" s="15"/>
      <c r="I273" s="15"/>
      <c r="J273" s="16"/>
      <c r="K273" s="16"/>
      <c r="L273" s="16"/>
      <c r="M273" s="16"/>
      <c r="N273" s="16"/>
      <c r="O273" s="16"/>
      <c r="P273" s="16"/>
      <c r="R273" s="12"/>
      <c r="Z273" s="13"/>
    </row>
    <row r="274" spans="3:27" ht="31.5" hidden="1" outlineLevel="1" x14ac:dyDescent="0.25">
      <c r="C274" s="88"/>
      <c r="D274" s="144" t="s">
        <v>144</v>
      </c>
      <c r="E274" s="512" t="s">
        <v>27</v>
      </c>
      <c r="F274" s="512"/>
      <c r="G274" s="512"/>
      <c r="H274" s="144" t="s">
        <v>145</v>
      </c>
      <c r="I274" s="512" t="s">
        <v>27</v>
      </c>
      <c r="J274" s="512"/>
      <c r="K274" s="512"/>
      <c r="L274" s="144" t="s">
        <v>146</v>
      </c>
      <c r="M274" s="512" t="s">
        <v>27</v>
      </c>
      <c r="N274" s="512"/>
      <c r="O274" s="512"/>
      <c r="P274" s="447" t="s">
        <v>147</v>
      </c>
      <c r="Q274" s="18"/>
      <c r="R274" s="19"/>
      <c r="S274" s="18"/>
      <c r="T274" s="18"/>
      <c r="U274" s="18"/>
      <c r="V274" s="18"/>
      <c r="W274" s="18"/>
      <c r="X274" s="18"/>
      <c r="Y274" s="18"/>
      <c r="Z274" s="20"/>
      <c r="AA274" s="18"/>
    </row>
    <row r="275" spans="3:27" hidden="1" outlineLevel="1" x14ac:dyDescent="0.25">
      <c r="C275" s="81" t="s">
        <v>148</v>
      </c>
      <c r="D275" s="68">
        <v>0</v>
      </c>
      <c r="E275" s="432" t="s">
        <v>149</v>
      </c>
      <c r="F275" s="433"/>
      <c r="G275" s="434"/>
      <c r="H275" s="68">
        <v>10000</v>
      </c>
      <c r="I275" s="432"/>
      <c r="J275" s="433"/>
      <c r="K275" s="434"/>
      <c r="L275" s="68">
        <v>50000</v>
      </c>
      <c r="M275" s="432"/>
      <c r="N275" s="433"/>
      <c r="O275" s="434"/>
      <c r="P275" s="448"/>
      <c r="R275" s="12"/>
      <c r="Z275" s="13"/>
    </row>
    <row r="276" spans="3:27" hidden="1" outlineLevel="1" x14ac:dyDescent="0.25">
      <c r="C276" s="81" t="s">
        <v>150</v>
      </c>
      <c r="D276" s="435">
        <f>$D$275*P276</f>
        <v>0</v>
      </c>
      <c r="E276" s="432"/>
      <c r="F276" s="433"/>
      <c r="G276" s="434"/>
      <c r="H276" s="435">
        <f>$H$275*P276</f>
        <v>15</v>
      </c>
      <c r="I276" s="432"/>
      <c r="J276" s="433"/>
      <c r="K276" s="434"/>
      <c r="L276" s="435">
        <f>$L$275*P276</f>
        <v>75</v>
      </c>
      <c r="M276" s="432"/>
      <c r="N276" s="433"/>
      <c r="O276" s="434"/>
      <c r="P276" s="449">
        <v>1.5E-3</v>
      </c>
      <c r="R276" s="12"/>
      <c r="Z276" s="13"/>
    </row>
    <row r="277" spans="3:27" hidden="1" outlineLevel="1" x14ac:dyDescent="0.25">
      <c r="C277" s="81" t="s">
        <v>151</v>
      </c>
      <c r="D277" s="435">
        <f t="shared" ref="D277:D280" si="104">$D$275*P277</f>
        <v>0</v>
      </c>
      <c r="E277" s="432"/>
      <c r="F277" s="433"/>
      <c r="G277" s="434"/>
      <c r="H277" s="435">
        <f t="shared" ref="H277:H280" si="105">$H$275*P277</f>
        <v>130</v>
      </c>
      <c r="I277" s="432"/>
      <c r="J277" s="433"/>
      <c r="K277" s="434"/>
      <c r="L277" s="435">
        <f t="shared" ref="L277:L280" si="106">$L$275*P277</f>
        <v>650</v>
      </c>
      <c r="M277" s="432"/>
      <c r="N277" s="433"/>
      <c r="O277" s="434"/>
      <c r="P277" s="449">
        <v>1.2999999999999999E-2</v>
      </c>
      <c r="R277" s="12"/>
      <c r="Z277" s="13"/>
    </row>
    <row r="278" spans="3:27" hidden="1" outlineLevel="1" x14ac:dyDescent="0.25">
      <c r="C278" s="81" t="s">
        <v>152</v>
      </c>
      <c r="D278" s="435">
        <f t="shared" si="104"/>
        <v>0</v>
      </c>
      <c r="E278" s="432"/>
      <c r="F278" s="433"/>
      <c r="G278" s="434"/>
      <c r="H278" s="435">
        <f t="shared" si="105"/>
        <v>930</v>
      </c>
      <c r="I278" s="432"/>
      <c r="J278" s="433"/>
      <c r="K278" s="434"/>
      <c r="L278" s="435">
        <f t="shared" si="106"/>
        <v>4650</v>
      </c>
      <c r="M278" s="432"/>
      <c r="N278" s="433"/>
      <c r="O278" s="434"/>
      <c r="P278" s="449">
        <v>9.2999999999999999E-2</v>
      </c>
      <c r="R278" s="12"/>
      <c r="Z278" s="13"/>
    </row>
    <row r="279" spans="3:27" hidden="1" outlineLevel="1" x14ac:dyDescent="0.25">
      <c r="C279" s="81" t="s">
        <v>153</v>
      </c>
      <c r="D279" s="435">
        <f t="shared" si="104"/>
        <v>0</v>
      </c>
      <c r="E279" s="432"/>
      <c r="F279" s="433"/>
      <c r="G279" s="434"/>
      <c r="H279" s="435">
        <f t="shared" si="105"/>
        <v>1055</v>
      </c>
      <c r="I279" s="432" t="s">
        <v>154</v>
      </c>
      <c r="J279" s="433"/>
      <c r="K279" s="434"/>
      <c r="L279" s="435">
        <f t="shared" si="106"/>
        <v>5275</v>
      </c>
      <c r="M279" s="432" t="s">
        <v>154</v>
      </c>
      <c r="N279" s="433"/>
      <c r="O279" s="434"/>
      <c r="P279" s="449">
        <v>0.1055</v>
      </c>
      <c r="R279" s="12"/>
      <c r="Z279" s="13"/>
    </row>
    <row r="280" spans="3:27" hidden="1" outlineLevel="1" x14ac:dyDescent="0.25">
      <c r="C280" s="81" t="s">
        <v>155</v>
      </c>
      <c r="D280" s="435">
        <f t="shared" si="104"/>
        <v>0</v>
      </c>
      <c r="E280" s="432"/>
      <c r="F280" s="433"/>
      <c r="G280" s="434"/>
      <c r="H280" s="435">
        <f t="shared" si="105"/>
        <v>120</v>
      </c>
      <c r="I280" s="432" t="s">
        <v>156</v>
      </c>
      <c r="J280" s="433"/>
      <c r="K280" s="434"/>
      <c r="L280" s="435">
        <f t="shared" si="106"/>
        <v>600</v>
      </c>
      <c r="M280" s="432" t="s">
        <v>156</v>
      </c>
      <c r="N280" s="433"/>
      <c r="O280" s="434"/>
      <c r="P280" s="449">
        <v>1.2E-2</v>
      </c>
      <c r="R280" s="12"/>
      <c r="Z280" s="13"/>
    </row>
    <row r="281" spans="3:27" hidden="1" outlineLevel="1" x14ac:dyDescent="0.25">
      <c r="C281" s="142" t="s">
        <v>157</v>
      </c>
      <c r="D281" s="132">
        <f>SUM(D275:D280)</f>
        <v>0</v>
      </c>
      <c r="E281" s="519"/>
      <c r="F281" s="520"/>
      <c r="G281" s="521"/>
      <c r="H281" s="132">
        <f>SUM(H275:H280)</f>
        <v>12250</v>
      </c>
      <c r="I281" s="519"/>
      <c r="J281" s="520"/>
      <c r="K281" s="521"/>
      <c r="L281" s="132">
        <f>SUM(L275:L280)</f>
        <v>61250</v>
      </c>
      <c r="M281" s="519"/>
      <c r="N281" s="520"/>
      <c r="O281" s="521"/>
      <c r="R281" s="12"/>
      <c r="Z281" s="13"/>
    </row>
    <row r="282" spans="3:27" hidden="1" outlineLevel="1" x14ac:dyDescent="0.25">
      <c r="C282" s="123"/>
      <c r="D282" s="123"/>
      <c r="E282" s="123"/>
      <c r="F282" s="123"/>
      <c r="G282" s="123"/>
      <c r="H282" s="122"/>
      <c r="I282" s="123"/>
      <c r="J282" s="22"/>
      <c r="K282" s="22"/>
      <c r="L282" s="22"/>
      <c r="M282" s="123"/>
      <c r="N282" s="22"/>
      <c r="O282" s="22"/>
      <c r="R282" s="12"/>
      <c r="Z282" s="13"/>
    </row>
    <row r="283" spans="3:27" hidden="1" outlineLevel="1" x14ac:dyDescent="0.25">
      <c r="C283" s="123"/>
      <c r="D283" s="123"/>
      <c r="E283" s="123"/>
      <c r="F283" s="123"/>
      <c r="G283" s="123"/>
      <c r="H283" s="122"/>
      <c r="I283" s="123"/>
      <c r="J283" s="22"/>
      <c r="K283" s="22"/>
      <c r="L283" s="22"/>
      <c r="M283" s="123"/>
      <c r="N283" s="22"/>
      <c r="O283" s="22"/>
      <c r="R283" s="12"/>
      <c r="Z283" s="13"/>
    </row>
    <row r="284" spans="3:27" ht="15.75" hidden="1" outlineLevel="1" x14ac:dyDescent="0.25">
      <c r="C284" s="88"/>
      <c r="D284" s="144" t="s">
        <v>158</v>
      </c>
      <c r="E284" s="512" t="s">
        <v>27</v>
      </c>
      <c r="F284" s="512"/>
      <c r="G284" s="512"/>
      <c r="H284" s="144" t="s">
        <v>159</v>
      </c>
      <c r="I284" s="512" t="s">
        <v>27</v>
      </c>
      <c r="J284" s="512"/>
      <c r="K284" s="512"/>
      <c r="L284" s="144" t="s">
        <v>160</v>
      </c>
      <c r="M284" s="512" t="s">
        <v>27</v>
      </c>
      <c r="N284" s="512"/>
      <c r="O284" s="512"/>
      <c r="P284" s="447" t="s">
        <v>147</v>
      </c>
      <c r="R284" s="12"/>
      <c r="Z284" s="13"/>
    </row>
    <row r="285" spans="3:27" hidden="1" outlineLevel="1" x14ac:dyDescent="0.25">
      <c r="C285" s="81" t="s">
        <v>148</v>
      </c>
      <c r="D285" s="68">
        <v>50000</v>
      </c>
      <c r="E285" s="432"/>
      <c r="F285" s="433"/>
      <c r="G285" s="434"/>
      <c r="H285" s="68">
        <v>42000</v>
      </c>
      <c r="I285" s="432"/>
      <c r="J285" s="433"/>
      <c r="K285" s="434"/>
      <c r="L285" s="68">
        <v>60000</v>
      </c>
      <c r="M285" s="432"/>
      <c r="N285" s="433"/>
      <c r="O285" s="434"/>
      <c r="P285" s="448"/>
      <c r="R285" s="12"/>
      <c r="Z285" s="13"/>
    </row>
    <row r="286" spans="3:27" hidden="1" outlineLevel="1" x14ac:dyDescent="0.25">
      <c r="C286" s="81" t="s">
        <v>150</v>
      </c>
      <c r="D286" s="435">
        <f>$D$285*P286</f>
        <v>75</v>
      </c>
      <c r="E286" s="432"/>
      <c r="F286" s="433"/>
      <c r="G286" s="434"/>
      <c r="H286" s="435">
        <f>$H$285*P286</f>
        <v>63</v>
      </c>
      <c r="I286" s="432"/>
      <c r="J286" s="433"/>
      <c r="K286" s="434"/>
      <c r="L286" s="435">
        <f>$L$275*P286</f>
        <v>75</v>
      </c>
      <c r="M286" s="432"/>
      <c r="N286" s="433"/>
      <c r="O286" s="434"/>
      <c r="P286" s="449">
        <v>1.5E-3</v>
      </c>
      <c r="R286" s="12"/>
      <c r="Z286" s="13"/>
    </row>
    <row r="287" spans="3:27" hidden="1" outlineLevel="1" x14ac:dyDescent="0.25">
      <c r="C287" s="81" t="s">
        <v>151</v>
      </c>
      <c r="D287" s="435">
        <f t="shared" ref="D287:D290" si="107">$D$285*P287</f>
        <v>650</v>
      </c>
      <c r="E287" s="432"/>
      <c r="F287" s="433"/>
      <c r="G287" s="434"/>
      <c r="H287" s="435">
        <f t="shared" ref="H287:H290" si="108">$H$285*P287</f>
        <v>546</v>
      </c>
      <c r="I287" s="432"/>
      <c r="J287" s="433"/>
      <c r="K287" s="434"/>
      <c r="L287" s="435">
        <f t="shared" ref="L287:L289" si="109">$L$275*P287</f>
        <v>650</v>
      </c>
      <c r="M287" s="432"/>
      <c r="N287" s="433"/>
      <c r="O287" s="434"/>
      <c r="P287" s="449">
        <v>1.2999999999999999E-2</v>
      </c>
      <c r="R287" s="12"/>
      <c r="Z287" s="13"/>
    </row>
    <row r="288" spans="3:27" ht="15.75" hidden="1" outlineLevel="1" thickBot="1" x14ac:dyDescent="0.3">
      <c r="C288" s="81" t="s">
        <v>152</v>
      </c>
      <c r="D288" s="435">
        <f t="shared" si="107"/>
        <v>4650</v>
      </c>
      <c r="E288" s="432"/>
      <c r="F288" s="433"/>
      <c r="G288" s="434"/>
      <c r="H288" s="435">
        <f t="shared" si="108"/>
        <v>3906</v>
      </c>
      <c r="I288" s="432"/>
      <c r="J288" s="433"/>
      <c r="K288" s="434"/>
      <c r="L288" s="435">
        <f t="shared" si="109"/>
        <v>4650</v>
      </c>
      <c r="M288" s="432"/>
      <c r="N288" s="433"/>
      <c r="O288" s="434"/>
      <c r="P288" s="449">
        <v>9.2999999999999999E-2</v>
      </c>
      <c r="R288" s="35"/>
      <c r="S288" s="36"/>
      <c r="T288" s="36"/>
      <c r="U288" s="36"/>
      <c r="V288" s="36"/>
      <c r="W288" s="36"/>
      <c r="X288" s="36"/>
      <c r="Y288" s="36"/>
      <c r="Z288" s="37"/>
    </row>
    <row r="289" spans="3:27" ht="15.75" hidden="1" outlineLevel="1" thickTop="1" x14ac:dyDescent="0.25">
      <c r="C289" s="81" t="s">
        <v>153</v>
      </c>
      <c r="D289" s="435">
        <f t="shared" si="107"/>
        <v>5275</v>
      </c>
      <c r="E289" s="432" t="s">
        <v>154</v>
      </c>
      <c r="F289" s="433"/>
      <c r="G289" s="434"/>
      <c r="H289" s="435">
        <f t="shared" si="108"/>
        <v>4431</v>
      </c>
      <c r="I289" s="432" t="s">
        <v>154</v>
      </c>
      <c r="J289" s="433"/>
      <c r="K289" s="434"/>
      <c r="L289" s="435">
        <f t="shared" si="109"/>
        <v>5275</v>
      </c>
      <c r="M289" s="432" t="s">
        <v>154</v>
      </c>
      <c r="N289" s="433"/>
      <c r="O289" s="434"/>
      <c r="P289" s="449">
        <v>0.1055</v>
      </c>
      <c r="R289" s="41"/>
      <c r="S289" s="42"/>
      <c r="T289" s="42"/>
      <c r="U289" s="42"/>
      <c r="V289" s="42"/>
      <c r="W289" s="42"/>
      <c r="X289" s="42"/>
      <c r="Y289" s="42"/>
      <c r="Z289" s="43"/>
    </row>
    <row r="290" spans="3:27" ht="18" hidden="1" outlineLevel="1" thickBot="1" x14ac:dyDescent="0.35">
      <c r="C290" s="81" t="s">
        <v>155</v>
      </c>
      <c r="D290" s="435">
        <f t="shared" si="107"/>
        <v>600</v>
      </c>
      <c r="E290" s="432" t="s">
        <v>156</v>
      </c>
      <c r="F290" s="433"/>
      <c r="G290" s="434"/>
      <c r="H290" s="435">
        <f t="shared" si="108"/>
        <v>504</v>
      </c>
      <c r="I290" s="432" t="s">
        <v>156</v>
      </c>
      <c r="J290" s="433"/>
      <c r="K290" s="434"/>
      <c r="L290" s="435">
        <f>$L$275*P290</f>
        <v>600</v>
      </c>
      <c r="M290" s="432" t="s">
        <v>156</v>
      </c>
      <c r="N290" s="433"/>
      <c r="O290" s="434"/>
      <c r="P290" s="449">
        <v>1.2E-2</v>
      </c>
      <c r="R290" s="12"/>
      <c r="S290" s="17" t="s">
        <v>48</v>
      </c>
      <c r="Z290" s="13"/>
    </row>
    <row r="291" spans="3:27" ht="15.75" hidden="1" outlineLevel="1" thickTop="1" x14ac:dyDescent="0.25">
      <c r="C291" s="142" t="s">
        <v>157</v>
      </c>
      <c r="D291" s="132">
        <f>SUM(D285:D290)</f>
        <v>61250</v>
      </c>
      <c r="E291" s="518"/>
      <c r="F291" s="518"/>
      <c r="G291" s="518"/>
      <c r="H291" s="132">
        <f>SUM(H285:H290)</f>
        <v>51450</v>
      </c>
      <c r="I291" s="518"/>
      <c r="J291" s="518"/>
      <c r="K291" s="518"/>
      <c r="L291" s="132">
        <f>SUM(L285:L290)</f>
        <v>71250</v>
      </c>
      <c r="M291" s="524"/>
      <c r="N291" s="524"/>
      <c r="O291" s="524"/>
      <c r="R291" s="12"/>
      <c r="Z291" s="13"/>
    </row>
    <row r="292" spans="3:27" hidden="1" outlineLevel="1" x14ac:dyDescent="0.25">
      <c r="C292" s="123"/>
      <c r="D292" s="123"/>
      <c r="E292" s="123"/>
      <c r="F292" s="123"/>
      <c r="G292" s="123"/>
      <c r="H292" s="122"/>
      <c r="I292" s="123"/>
      <c r="J292" s="22"/>
      <c r="K292" s="22"/>
      <c r="L292" s="22"/>
      <c r="M292" s="22"/>
      <c r="N292" s="22"/>
      <c r="O292" s="22"/>
      <c r="P292" s="22"/>
      <c r="R292" s="12"/>
      <c r="S292" s="81"/>
      <c r="T292" s="499" t="s">
        <v>52</v>
      </c>
      <c r="U292" s="499"/>
      <c r="V292" s="499"/>
      <c r="W292" s="499"/>
      <c r="X292" s="499"/>
      <c r="Y292" s="499"/>
      <c r="Z292" s="13"/>
    </row>
    <row r="293" spans="3:27" hidden="1" outlineLevel="1" x14ac:dyDescent="0.25">
      <c r="C293" s="123"/>
      <c r="D293" s="123"/>
      <c r="E293" s="123"/>
      <c r="F293" s="123"/>
      <c r="G293" s="123"/>
      <c r="H293" s="122"/>
      <c r="I293" s="123"/>
      <c r="J293" s="22"/>
      <c r="K293" s="22"/>
      <c r="L293" s="22"/>
      <c r="M293" s="22"/>
      <c r="N293" s="22"/>
      <c r="O293" s="22"/>
      <c r="P293" s="22"/>
      <c r="R293" s="12"/>
      <c r="S293" s="81"/>
      <c r="T293" s="62" t="s">
        <v>42</v>
      </c>
      <c r="U293" s="62" t="s">
        <v>43</v>
      </c>
      <c r="V293" s="62" t="s">
        <v>44</v>
      </c>
      <c r="W293" s="62" t="s">
        <v>45</v>
      </c>
      <c r="X293" s="62" t="s">
        <v>46</v>
      </c>
      <c r="Y293" s="62" t="s">
        <v>47</v>
      </c>
      <c r="Z293" s="13"/>
    </row>
    <row r="294" spans="3:27" hidden="1" outlineLevel="1" x14ac:dyDescent="0.25">
      <c r="C294" s="123"/>
      <c r="D294" s="123"/>
      <c r="E294" s="123"/>
      <c r="F294" s="123"/>
      <c r="G294" s="123"/>
      <c r="H294" s="122"/>
      <c r="I294" s="123"/>
      <c r="J294" s="22"/>
      <c r="K294" s="22"/>
      <c r="L294" s="22"/>
      <c r="M294" s="22"/>
      <c r="N294" s="22"/>
      <c r="O294" s="22"/>
      <c r="P294" s="22"/>
      <c r="R294" s="12"/>
      <c r="S294" s="81"/>
      <c r="T294" s="77">
        <f>D311</f>
        <v>46023</v>
      </c>
      <c r="U294" s="77">
        <f>H311</f>
        <v>46388</v>
      </c>
      <c r="V294" s="77">
        <f t="shared" ref="V294:Y300" si="110">M311</f>
        <v>46753</v>
      </c>
      <c r="W294" s="77">
        <f t="shared" ref="W294:Y294" si="111">EDATE(V294,12)</f>
        <v>47119</v>
      </c>
      <c r="X294" s="77">
        <f t="shared" si="111"/>
        <v>47484</v>
      </c>
      <c r="Y294" s="77">
        <f t="shared" si="111"/>
        <v>47849</v>
      </c>
      <c r="Z294" s="13"/>
    </row>
    <row r="295" spans="3:27" ht="19.5" hidden="1" outlineLevel="1" x14ac:dyDescent="0.3">
      <c r="C295" s="54" t="s">
        <v>161</v>
      </c>
      <c r="R295" s="12"/>
      <c r="S295" s="59" t="str">
        <f t="shared" ref="S295:S300" si="112">C312</f>
        <v>Founders  (first year)</v>
      </c>
      <c r="T295" s="60">
        <f t="shared" ref="T295:T300" si="113">SUM(D312:G312)</f>
        <v>0</v>
      </c>
      <c r="U295" s="60">
        <f t="shared" ref="U295:U300" si="114">SUM(H312:K312)</f>
        <v>0</v>
      </c>
      <c r="V295" s="60">
        <f t="shared" si="110"/>
        <v>0</v>
      </c>
      <c r="W295" s="60">
        <f t="shared" si="110"/>
        <v>0</v>
      </c>
      <c r="X295" s="60">
        <f t="shared" si="110"/>
        <v>0</v>
      </c>
      <c r="Y295" s="60">
        <f t="shared" si="110"/>
        <v>0</v>
      </c>
      <c r="Z295" s="13"/>
    </row>
    <row r="296" spans="3:27" hidden="1" outlineLevel="1" x14ac:dyDescent="0.25">
      <c r="C296" s="56"/>
      <c r="D296" s="500" t="s">
        <v>162</v>
      </c>
      <c r="E296" s="500"/>
      <c r="F296" s="500"/>
      <c r="G296" s="500"/>
      <c r="H296" s="500"/>
      <c r="I296" s="500"/>
      <c r="J296" s="500"/>
      <c r="K296" s="500"/>
      <c r="L296" s="61"/>
      <c r="M296" s="499" t="s">
        <v>163</v>
      </c>
      <c r="N296" s="499"/>
      <c r="O296" s="499"/>
      <c r="P296" s="499"/>
      <c r="R296" s="12"/>
      <c r="S296" s="59" t="str">
        <f t="shared" si="112"/>
        <v>Founders (2028 onwards)</v>
      </c>
      <c r="T296" s="60">
        <f t="shared" si="113"/>
        <v>0</v>
      </c>
      <c r="U296" s="60">
        <f t="shared" si="114"/>
        <v>0</v>
      </c>
      <c r="V296" s="60">
        <f t="shared" si="110"/>
        <v>61250</v>
      </c>
      <c r="W296" s="60">
        <f t="shared" si="110"/>
        <v>61250</v>
      </c>
      <c r="X296" s="60">
        <f t="shared" si="110"/>
        <v>61250</v>
      </c>
      <c r="Y296" s="60">
        <f t="shared" si="110"/>
        <v>61250</v>
      </c>
      <c r="Z296" s="13"/>
    </row>
    <row r="297" spans="3:27" hidden="1" outlineLevel="1" x14ac:dyDescent="0.25">
      <c r="C297" s="56"/>
      <c r="D297" s="500" t="s">
        <v>42</v>
      </c>
      <c r="E297" s="500"/>
      <c r="F297" s="500"/>
      <c r="G297" s="500"/>
      <c r="H297" s="500" t="s">
        <v>43</v>
      </c>
      <c r="I297" s="500"/>
      <c r="J297" s="500"/>
      <c r="K297" s="500"/>
      <c r="L297" s="61"/>
      <c r="M297" s="62" t="s">
        <v>44</v>
      </c>
      <c r="N297" s="62" t="s">
        <v>45</v>
      </c>
      <c r="O297" s="62" t="s">
        <v>46</v>
      </c>
      <c r="P297" s="62" t="s">
        <v>47</v>
      </c>
      <c r="R297" s="12"/>
      <c r="S297" s="59" t="str">
        <f t="shared" si="112"/>
        <v>Engineers</v>
      </c>
      <c r="T297" s="60">
        <f t="shared" si="113"/>
        <v>30625</v>
      </c>
      <c r="U297" s="60">
        <f t="shared" si="114"/>
        <v>61250</v>
      </c>
      <c r="V297" s="60">
        <f t="shared" si="110"/>
        <v>122500</v>
      </c>
      <c r="W297" s="60">
        <f t="shared" si="110"/>
        <v>122500</v>
      </c>
      <c r="X297" s="60">
        <f t="shared" si="110"/>
        <v>122500</v>
      </c>
      <c r="Y297" s="60">
        <f t="shared" si="110"/>
        <v>122500</v>
      </c>
      <c r="Z297" s="13"/>
    </row>
    <row r="298" spans="3:27" hidden="1" outlineLevel="1" x14ac:dyDescent="0.25">
      <c r="C298" s="91"/>
      <c r="D298" s="58">
        <f>StartDate</f>
        <v>46023</v>
      </c>
      <c r="E298" s="58">
        <f>EDATE(D298,3)</f>
        <v>46113</v>
      </c>
      <c r="F298" s="58">
        <f t="shared" ref="F298:K298" si="115">EDATE(E298,3)</f>
        <v>46204</v>
      </c>
      <c r="G298" s="58">
        <f t="shared" si="115"/>
        <v>46296</v>
      </c>
      <c r="H298" s="58">
        <f t="shared" si="115"/>
        <v>46388</v>
      </c>
      <c r="I298" s="58">
        <f t="shared" si="115"/>
        <v>46478</v>
      </c>
      <c r="J298" s="58">
        <f t="shared" si="115"/>
        <v>46569</v>
      </c>
      <c r="K298" s="58">
        <f t="shared" si="115"/>
        <v>46661</v>
      </c>
      <c r="L298" s="61"/>
      <c r="M298" s="58">
        <f>EDATE(K298,3)</f>
        <v>46753</v>
      </c>
      <c r="N298" s="58">
        <f t="shared" ref="N298:P298" si="116">EDATE(M298,12)</f>
        <v>47119</v>
      </c>
      <c r="O298" s="58">
        <f t="shared" si="116"/>
        <v>47484</v>
      </c>
      <c r="P298" s="58">
        <f t="shared" si="116"/>
        <v>47849</v>
      </c>
      <c r="R298" s="12"/>
      <c r="S298" s="59" t="str">
        <f t="shared" si="112"/>
        <v>Sales</v>
      </c>
      <c r="T298" s="60">
        <f t="shared" si="113"/>
        <v>0</v>
      </c>
      <c r="U298" s="60">
        <f t="shared" si="114"/>
        <v>76562.5</v>
      </c>
      <c r="V298" s="60">
        <f t="shared" si="110"/>
        <v>122500</v>
      </c>
      <c r="W298" s="60">
        <f t="shared" si="110"/>
        <v>122500</v>
      </c>
      <c r="X298" s="60">
        <f t="shared" si="110"/>
        <v>183750</v>
      </c>
      <c r="Y298" s="60">
        <f t="shared" si="110"/>
        <v>183750</v>
      </c>
      <c r="Z298" s="13"/>
    </row>
    <row r="299" spans="3:27" hidden="1" outlineLevel="1" x14ac:dyDescent="0.25">
      <c r="C299" s="59" t="str">
        <f>D274</f>
        <v>Founders  (first year)</v>
      </c>
      <c r="D299" s="68">
        <v>5</v>
      </c>
      <c r="E299" s="68">
        <v>5</v>
      </c>
      <c r="F299" s="68">
        <v>5</v>
      </c>
      <c r="G299" s="68">
        <v>5</v>
      </c>
      <c r="H299" s="68">
        <v>5</v>
      </c>
      <c r="I299" s="68">
        <v>5</v>
      </c>
      <c r="J299" s="68">
        <v>5</v>
      </c>
      <c r="K299" s="68">
        <v>5</v>
      </c>
      <c r="L299" s="61"/>
      <c r="M299" s="68"/>
      <c r="N299" s="68"/>
      <c r="O299" s="68"/>
      <c r="P299" s="68"/>
      <c r="R299" s="12"/>
      <c r="S299" s="59" t="str">
        <f t="shared" si="112"/>
        <v>Admin</v>
      </c>
      <c r="T299" s="60">
        <f t="shared" si="113"/>
        <v>0</v>
      </c>
      <c r="U299" s="60">
        <f t="shared" si="114"/>
        <v>90037.5</v>
      </c>
      <c r="V299" s="60">
        <f t="shared" si="110"/>
        <v>154350</v>
      </c>
      <c r="W299" s="60">
        <f t="shared" si="110"/>
        <v>154350</v>
      </c>
      <c r="X299" s="60">
        <f t="shared" si="110"/>
        <v>154350</v>
      </c>
      <c r="Y299" s="60">
        <f t="shared" si="110"/>
        <v>154350</v>
      </c>
      <c r="Z299" s="13"/>
    </row>
    <row r="300" spans="3:27" ht="15.75" hidden="1" outlineLevel="1" thickBot="1" x14ac:dyDescent="0.3">
      <c r="C300" s="59" t="str">
        <f>H274</f>
        <v>Founders (2028 onwards)</v>
      </c>
      <c r="D300" s="68"/>
      <c r="E300" s="68"/>
      <c r="F300" s="68"/>
      <c r="G300" s="68"/>
      <c r="H300" s="68"/>
      <c r="I300" s="68"/>
      <c r="J300" s="68"/>
      <c r="K300" s="68"/>
      <c r="L300" s="61"/>
      <c r="M300" s="68">
        <v>5</v>
      </c>
      <c r="N300" s="68">
        <v>5</v>
      </c>
      <c r="O300" s="68">
        <v>5</v>
      </c>
      <c r="P300" s="68">
        <v>5</v>
      </c>
      <c r="Q300" s="105"/>
      <c r="R300" s="12"/>
      <c r="S300" s="111" t="str">
        <f t="shared" si="112"/>
        <v>Finance</v>
      </c>
      <c r="T300" s="97">
        <f t="shared" si="113"/>
        <v>0</v>
      </c>
      <c r="U300" s="97">
        <f t="shared" si="114"/>
        <v>53437.5</v>
      </c>
      <c r="V300" s="97">
        <f t="shared" si="110"/>
        <v>142500</v>
      </c>
      <c r="W300" s="97">
        <f t="shared" si="110"/>
        <v>142500</v>
      </c>
      <c r="X300" s="97">
        <f t="shared" si="110"/>
        <v>142500</v>
      </c>
      <c r="Y300" s="97">
        <f t="shared" si="110"/>
        <v>142500</v>
      </c>
      <c r="Z300" s="13"/>
      <c r="AA300" s="105"/>
    </row>
    <row r="301" spans="3:27" ht="15.75" hidden="1" outlineLevel="1" thickBot="1" x14ac:dyDescent="0.3">
      <c r="C301" s="59" t="str">
        <f>L274</f>
        <v>Engineers</v>
      </c>
      <c r="D301" s="68"/>
      <c r="E301" s="68"/>
      <c r="F301" s="68">
        <v>1</v>
      </c>
      <c r="G301" s="68">
        <v>1</v>
      </c>
      <c r="H301" s="68">
        <v>1</v>
      </c>
      <c r="I301" s="68">
        <v>1</v>
      </c>
      <c r="J301" s="68">
        <v>1</v>
      </c>
      <c r="K301" s="68">
        <v>1</v>
      </c>
      <c r="L301" s="61"/>
      <c r="M301" s="68">
        <v>2</v>
      </c>
      <c r="N301" s="68">
        <v>2</v>
      </c>
      <c r="O301" s="68">
        <v>2</v>
      </c>
      <c r="P301" s="68">
        <v>2</v>
      </c>
      <c r="R301" s="12"/>
      <c r="S301" s="102" t="s">
        <v>75</v>
      </c>
      <c r="T301" s="99">
        <f>SUM(T295:T300)</f>
        <v>30625</v>
      </c>
      <c r="U301" s="99">
        <f t="shared" ref="U301:Y301" si="117">SUM(U295:U300)</f>
        <v>281287.5</v>
      </c>
      <c r="V301" s="99">
        <f t="shared" si="117"/>
        <v>603100</v>
      </c>
      <c r="W301" s="99">
        <f t="shared" si="117"/>
        <v>603100</v>
      </c>
      <c r="X301" s="99">
        <f t="shared" si="117"/>
        <v>664350</v>
      </c>
      <c r="Y301" s="100">
        <f t="shared" si="117"/>
        <v>664350</v>
      </c>
      <c r="Z301" s="13"/>
    </row>
    <row r="302" spans="3:27" hidden="1" outlineLevel="1" x14ac:dyDescent="0.25">
      <c r="C302" s="59" t="str">
        <f>D284</f>
        <v>Sales</v>
      </c>
      <c r="D302" s="68"/>
      <c r="E302" s="68"/>
      <c r="F302" s="68"/>
      <c r="G302" s="68"/>
      <c r="H302" s="68">
        <v>1</v>
      </c>
      <c r="I302" s="68">
        <v>1</v>
      </c>
      <c r="J302" s="68">
        <v>1</v>
      </c>
      <c r="K302" s="68">
        <v>2</v>
      </c>
      <c r="L302" s="61"/>
      <c r="M302" s="68">
        <v>2</v>
      </c>
      <c r="N302" s="68">
        <v>2</v>
      </c>
      <c r="O302" s="68">
        <v>3</v>
      </c>
      <c r="P302" s="68">
        <v>3</v>
      </c>
      <c r="R302" s="12"/>
      <c r="Z302" s="13"/>
    </row>
    <row r="303" spans="3:27" hidden="1" outlineLevel="1" x14ac:dyDescent="0.25">
      <c r="C303" s="59" t="str">
        <f>H284</f>
        <v>Admin</v>
      </c>
      <c r="D303" s="68"/>
      <c r="E303" s="68"/>
      <c r="F303" s="68"/>
      <c r="G303" s="68"/>
      <c r="H303" s="68">
        <v>1</v>
      </c>
      <c r="I303" s="68">
        <v>1</v>
      </c>
      <c r="J303" s="68">
        <v>2</v>
      </c>
      <c r="K303" s="68">
        <v>3</v>
      </c>
      <c r="L303" s="61"/>
      <c r="M303" s="68">
        <v>3</v>
      </c>
      <c r="N303" s="68">
        <v>3</v>
      </c>
      <c r="O303" s="68">
        <v>3</v>
      </c>
      <c r="P303" s="68">
        <v>3</v>
      </c>
      <c r="R303" s="12"/>
      <c r="Z303" s="13"/>
    </row>
    <row r="304" spans="3:27" ht="15.75" hidden="1" outlineLevel="1" thickBot="1" x14ac:dyDescent="0.3">
      <c r="C304" s="111" t="str">
        <f>L284</f>
        <v>Finance</v>
      </c>
      <c r="D304" s="145"/>
      <c r="E304" s="145"/>
      <c r="F304" s="145"/>
      <c r="G304" s="145"/>
      <c r="H304" s="145"/>
      <c r="I304" s="145">
        <v>1</v>
      </c>
      <c r="J304" s="145">
        <v>1</v>
      </c>
      <c r="K304" s="145">
        <v>1</v>
      </c>
      <c r="L304" s="61"/>
      <c r="M304" s="145">
        <v>2</v>
      </c>
      <c r="N304" s="145">
        <v>2</v>
      </c>
      <c r="O304" s="145">
        <v>2</v>
      </c>
      <c r="P304" s="145">
        <v>2</v>
      </c>
      <c r="R304" s="12"/>
      <c r="Z304" s="13"/>
    </row>
    <row r="305" spans="2:26" ht="15.75" hidden="1" outlineLevel="1" thickBot="1" x14ac:dyDescent="0.3">
      <c r="C305" s="98" t="s">
        <v>58</v>
      </c>
      <c r="D305" s="99">
        <f>SUM(D299:D304)</f>
        <v>5</v>
      </c>
      <c r="E305" s="99">
        <f t="shared" ref="E305:P305" si="118">SUM(E299:E304)</f>
        <v>5</v>
      </c>
      <c r="F305" s="99">
        <f t="shared" si="118"/>
        <v>6</v>
      </c>
      <c r="G305" s="99">
        <f t="shared" si="118"/>
        <v>6</v>
      </c>
      <c r="H305" s="99">
        <f t="shared" si="118"/>
        <v>8</v>
      </c>
      <c r="I305" s="99">
        <f t="shared" si="118"/>
        <v>9</v>
      </c>
      <c r="J305" s="99">
        <f t="shared" si="118"/>
        <v>10</v>
      </c>
      <c r="K305" s="100">
        <f t="shared" si="118"/>
        <v>12</v>
      </c>
      <c r="L305" s="61"/>
      <c r="M305" s="101">
        <f t="shared" si="118"/>
        <v>14</v>
      </c>
      <c r="N305" s="99">
        <f t="shared" si="118"/>
        <v>14</v>
      </c>
      <c r="O305" s="99">
        <f t="shared" si="118"/>
        <v>15</v>
      </c>
      <c r="P305" s="100">
        <f t="shared" si="118"/>
        <v>15</v>
      </c>
      <c r="R305" s="12"/>
      <c r="Z305" s="13"/>
    </row>
    <row r="306" spans="2:26" hidden="1" outlineLevel="1" x14ac:dyDescent="0.25">
      <c r="R306" s="12"/>
      <c r="Z306" s="13"/>
    </row>
    <row r="307" spans="2:26" hidden="1" outlineLevel="1" x14ac:dyDescent="0.25">
      <c r="R307" s="12"/>
      <c r="Z307" s="13"/>
    </row>
    <row r="308" spans="2:26" ht="19.5" hidden="1" outlineLevel="1" x14ac:dyDescent="0.3">
      <c r="C308" s="54" t="s">
        <v>164</v>
      </c>
      <c r="R308" s="12"/>
      <c r="Z308" s="13"/>
    </row>
    <row r="309" spans="2:26" hidden="1" outlineLevel="1" x14ac:dyDescent="0.25">
      <c r="C309" s="56"/>
      <c r="D309" s="500" t="s">
        <v>165</v>
      </c>
      <c r="E309" s="500"/>
      <c r="F309" s="500"/>
      <c r="G309" s="500"/>
      <c r="H309" s="500"/>
      <c r="I309" s="500"/>
      <c r="J309" s="500"/>
      <c r="K309" s="500"/>
      <c r="L309" s="61"/>
      <c r="M309" s="499" t="s">
        <v>166</v>
      </c>
      <c r="N309" s="499"/>
      <c r="O309" s="499"/>
      <c r="P309" s="499"/>
      <c r="R309" s="12"/>
      <c r="Z309" s="13"/>
    </row>
    <row r="310" spans="2:26" hidden="1" outlineLevel="1" x14ac:dyDescent="0.25">
      <c r="C310" s="56"/>
      <c r="D310" s="500" t="s">
        <v>42</v>
      </c>
      <c r="E310" s="500"/>
      <c r="F310" s="500"/>
      <c r="G310" s="500"/>
      <c r="H310" s="500" t="s">
        <v>43</v>
      </c>
      <c r="I310" s="500"/>
      <c r="J310" s="500"/>
      <c r="K310" s="500"/>
      <c r="L310" s="61"/>
      <c r="M310" s="62" t="s">
        <v>44</v>
      </c>
      <c r="N310" s="62" t="s">
        <v>45</v>
      </c>
      <c r="O310" s="62" t="s">
        <v>46</v>
      </c>
      <c r="P310" s="62" t="s">
        <v>47</v>
      </c>
      <c r="R310" s="12"/>
      <c r="Z310" s="13"/>
    </row>
    <row r="311" spans="2:26" hidden="1" outlineLevel="1" x14ac:dyDescent="0.25">
      <c r="C311" s="51"/>
      <c r="D311" s="44">
        <f>StartDate</f>
        <v>46023</v>
      </c>
      <c r="E311" s="45">
        <f>EDATE(D311,3)</f>
        <v>46113</v>
      </c>
      <c r="F311" s="45">
        <f t="shared" ref="F311:K311" si="119">EDATE(E311,3)</f>
        <v>46204</v>
      </c>
      <c r="G311" s="45">
        <f t="shared" si="119"/>
        <v>46296</v>
      </c>
      <c r="H311" s="45">
        <f t="shared" si="119"/>
        <v>46388</v>
      </c>
      <c r="I311" s="45">
        <f t="shared" si="119"/>
        <v>46478</v>
      </c>
      <c r="J311" s="45">
        <f t="shared" si="119"/>
        <v>46569</v>
      </c>
      <c r="K311" s="83">
        <f t="shared" si="119"/>
        <v>46661</v>
      </c>
      <c r="L311" s="146"/>
      <c r="M311" s="77">
        <f>EDATE(K311,3)</f>
        <v>46753</v>
      </c>
      <c r="N311" s="77">
        <f t="shared" ref="N311:P311" si="120">EDATE(M311,12)</f>
        <v>47119</v>
      </c>
      <c r="O311" s="77">
        <f t="shared" si="120"/>
        <v>47484</v>
      </c>
      <c r="P311" s="77">
        <f t="shared" si="120"/>
        <v>47849</v>
      </c>
      <c r="R311" s="12"/>
      <c r="Z311" s="13"/>
    </row>
    <row r="312" spans="2:26" hidden="1" outlineLevel="1" x14ac:dyDescent="0.25">
      <c r="C312" s="59" t="str">
        <f>C299</f>
        <v>Founders  (first year)</v>
      </c>
      <c r="D312" s="109">
        <f>$D$281*D299/4</f>
        <v>0</v>
      </c>
      <c r="E312" s="109">
        <f t="shared" ref="E312:J312" si="121">$D$281*E299/4</f>
        <v>0</v>
      </c>
      <c r="F312" s="109">
        <f t="shared" si="121"/>
        <v>0</v>
      </c>
      <c r="G312" s="109">
        <f t="shared" si="121"/>
        <v>0</v>
      </c>
      <c r="H312" s="109">
        <f t="shared" si="121"/>
        <v>0</v>
      </c>
      <c r="I312" s="109">
        <f t="shared" si="121"/>
        <v>0</v>
      </c>
      <c r="J312" s="109">
        <f t="shared" si="121"/>
        <v>0</v>
      </c>
      <c r="K312" s="109">
        <f>$D$281*K299/4</f>
        <v>0</v>
      </c>
      <c r="L312" s="61"/>
      <c r="M312" s="109">
        <f>$D$281*M299</f>
        <v>0</v>
      </c>
      <c r="N312" s="109">
        <f t="shared" ref="N312:P312" si="122">$D$281*N299</f>
        <v>0</v>
      </c>
      <c r="O312" s="109">
        <f t="shared" si="122"/>
        <v>0</v>
      </c>
      <c r="P312" s="109">
        <f t="shared" si="122"/>
        <v>0</v>
      </c>
      <c r="R312" s="12"/>
      <c r="Z312" s="13"/>
    </row>
    <row r="313" spans="2:26" hidden="1" outlineLevel="1" x14ac:dyDescent="0.25">
      <c r="C313" s="59" t="str">
        <f t="shared" ref="C313:C317" si="123">C300</f>
        <v>Founders (2028 onwards)</v>
      </c>
      <c r="D313" s="109">
        <f>$H$281*D300/4</f>
        <v>0</v>
      </c>
      <c r="E313" s="109">
        <f t="shared" ref="E313:J313" si="124">$H$281*E300/4</f>
        <v>0</v>
      </c>
      <c r="F313" s="109">
        <f t="shared" si="124"/>
        <v>0</v>
      </c>
      <c r="G313" s="109">
        <f t="shared" si="124"/>
        <v>0</v>
      </c>
      <c r="H313" s="109">
        <f t="shared" si="124"/>
        <v>0</v>
      </c>
      <c r="I313" s="109">
        <f t="shared" si="124"/>
        <v>0</v>
      </c>
      <c r="J313" s="109">
        <f t="shared" si="124"/>
        <v>0</v>
      </c>
      <c r="K313" s="109">
        <f>$H$281*K300/4</f>
        <v>0</v>
      </c>
      <c r="L313" s="61"/>
      <c r="M313" s="109">
        <f>$H$281*M300</f>
        <v>61250</v>
      </c>
      <c r="N313" s="109">
        <f t="shared" ref="N313:P313" si="125">$H$281*N300</f>
        <v>61250</v>
      </c>
      <c r="O313" s="109">
        <f t="shared" si="125"/>
        <v>61250</v>
      </c>
      <c r="P313" s="109">
        <f t="shared" si="125"/>
        <v>61250</v>
      </c>
      <c r="R313" s="12"/>
      <c r="Z313" s="13"/>
    </row>
    <row r="314" spans="2:26" hidden="1" outlineLevel="1" x14ac:dyDescent="0.25">
      <c r="C314" s="59" t="str">
        <f t="shared" si="123"/>
        <v>Engineers</v>
      </c>
      <c r="D314" s="109">
        <f>$L$281*D301/4</f>
        <v>0</v>
      </c>
      <c r="E314" s="109">
        <f t="shared" ref="E314:J314" si="126">$L$281*E301/4</f>
        <v>0</v>
      </c>
      <c r="F314" s="109">
        <f t="shared" si="126"/>
        <v>15312.5</v>
      </c>
      <c r="G314" s="109">
        <f t="shared" si="126"/>
        <v>15312.5</v>
      </c>
      <c r="H314" s="109">
        <f t="shared" si="126"/>
        <v>15312.5</v>
      </c>
      <c r="I314" s="109">
        <f t="shared" si="126"/>
        <v>15312.5</v>
      </c>
      <c r="J314" s="109">
        <f t="shared" si="126"/>
        <v>15312.5</v>
      </c>
      <c r="K314" s="109">
        <f>$L$281*K301/4</f>
        <v>15312.5</v>
      </c>
      <c r="L314" s="61"/>
      <c r="M314" s="109">
        <f>$L$281*M301</f>
        <v>122500</v>
      </c>
      <c r="N314" s="109">
        <f t="shared" ref="N314:P314" si="127">$L$281*N301</f>
        <v>122500</v>
      </c>
      <c r="O314" s="109">
        <f t="shared" si="127"/>
        <v>122500</v>
      </c>
      <c r="P314" s="109">
        <f t="shared" si="127"/>
        <v>122500</v>
      </c>
      <c r="R314" s="12"/>
      <c r="Z314" s="13"/>
    </row>
    <row r="315" spans="2:26" hidden="1" outlineLevel="1" x14ac:dyDescent="0.25">
      <c r="C315" s="59" t="str">
        <f t="shared" si="123"/>
        <v>Sales</v>
      </c>
      <c r="D315" s="109">
        <f>$D$291*D302/4</f>
        <v>0</v>
      </c>
      <c r="E315" s="109">
        <f t="shared" ref="E315:J315" si="128">$D$291*E302/4</f>
        <v>0</v>
      </c>
      <c r="F315" s="109">
        <f t="shared" si="128"/>
        <v>0</v>
      </c>
      <c r="G315" s="109">
        <f t="shared" si="128"/>
        <v>0</v>
      </c>
      <c r="H315" s="109">
        <f t="shared" si="128"/>
        <v>15312.5</v>
      </c>
      <c r="I315" s="109">
        <f t="shared" si="128"/>
        <v>15312.5</v>
      </c>
      <c r="J315" s="109">
        <f t="shared" si="128"/>
        <v>15312.5</v>
      </c>
      <c r="K315" s="109">
        <f>$D$291*K302/4</f>
        <v>30625</v>
      </c>
      <c r="L315" s="61"/>
      <c r="M315" s="109">
        <f>$D$291*M302</f>
        <v>122500</v>
      </c>
      <c r="N315" s="109">
        <f t="shared" ref="N315:P315" si="129">$D$291*N302</f>
        <v>122500</v>
      </c>
      <c r="O315" s="109">
        <f t="shared" si="129"/>
        <v>183750</v>
      </c>
      <c r="P315" s="109">
        <f t="shared" si="129"/>
        <v>183750</v>
      </c>
      <c r="R315" s="12"/>
      <c r="Z315" s="13"/>
    </row>
    <row r="316" spans="2:26" hidden="1" outlineLevel="1" x14ac:dyDescent="0.25">
      <c r="C316" s="59" t="str">
        <f t="shared" si="123"/>
        <v>Admin</v>
      </c>
      <c r="D316" s="109">
        <f>$H$291*D303/4</f>
        <v>0</v>
      </c>
      <c r="E316" s="109">
        <f t="shared" ref="E316:J316" si="130">$H$291*E303/4</f>
        <v>0</v>
      </c>
      <c r="F316" s="109">
        <f t="shared" si="130"/>
        <v>0</v>
      </c>
      <c r="G316" s="109">
        <f t="shared" si="130"/>
        <v>0</v>
      </c>
      <c r="H316" s="109">
        <f t="shared" si="130"/>
        <v>12862.5</v>
      </c>
      <c r="I316" s="109">
        <f t="shared" si="130"/>
        <v>12862.5</v>
      </c>
      <c r="J316" s="109">
        <f t="shared" si="130"/>
        <v>25725</v>
      </c>
      <c r="K316" s="109">
        <f>$H$291*K303/4</f>
        <v>38587.5</v>
      </c>
      <c r="L316" s="61"/>
      <c r="M316" s="109">
        <f>$H$291*M303</f>
        <v>154350</v>
      </c>
      <c r="N316" s="109">
        <f t="shared" ref="N316:P316" si="131">$H$291*N303</f>
        <v>154350</v>
      </c>
      <c r="O316" s="109">
        <f t="shared" si="131"/>
        <v>154350</v>
      </c>
      <c r="P316" s="109">
        <f t="shared" si="131"/>
        <v>154350</v>
      </c>
      <c r="R316" s="12"/>
      <c r="Z316" s="13"/>
    </row>
    <row r="317" spans="2:26" ht="15.75" hidden="1" outlineLevel="1" thickBot="1" x14ac:dyDescent="0.3">
      <c r="C317" s="111" t="str">
        <f t="shared" si="123"/>
        <v>Finance</v>
      </c>
      <c r="D317" s="112">
        <f>$L$291*D304/4</f>
        <v>0</v>
      </c>
      <c r="E317" s="112">
        <f t="shared" ref="E317:J317" si="132">$L$291*E304/4</f>
        <v>0</v>
      </c>
      <c r="F317" s="112">
        <f t="shared" si="132"/>
        <v>0</v>
      </c>
      <c r="G317" s="112">
        <f t="shared" si="132"/>
        <v>0</v>
      </c>
      <c r="H317" s="112">
        <f t="shared" si="132"/>
        <v>0</v>
      </c>
      <c r="I317" s="112">
        <f t="shared" si="132"/>
        <v>17812.5</v>
      </c>
      <c r="J317" s="112">
        <f t="shared" si="132"/>
        <v>17812.5</v>
      </c>
      <c r="K317" s="112">
        <f>$L$291*K304/4</f>
        <v>17812.5</v>
      </c>
      <c r="L317" s="61"/>
      <c r="M317" s="112">
        <f>$L$291*M304</f>
        <v>142500</v>
      </c>
      <c r="N317" s="112">
        <f t="shared" ref="N317:P317" si="133">$L$291*N304</f>
        <v>142500</v>
      </c>
      <c r="O317" s="112">
        <f t="shared" si="133"/>
        <v>142500</v>
      </c>
      <c r="P317" s="112">
        <f t="shared" si="133"/>
        <v>142500</v>
      </c>
      <c r="R317" s="12"/>
      <c r="Z317" s="13"/>
    </row>
    <row r="318" spans="2:26" ht="15.75" hidden="1" outlineLevel="1" thickBot="1" x14ac:dyDescent="0.3">
      <c r="C318" s="98" t="s">
        <v>58</v>
      </c>
      <c r="D318" s="99">
        <f>SUM(D312:D317)</f>
        <v>0</v>
      </c>
      <c r="E318" s="99">
        <f t="shared" ref="E318:P318" si="134">SUM(E312:E317)</f>
        <v>0</v>
      </c>
      <c r="F318" s="99">
        <f t="shared" si="134"/>
        <v>15312.5</v>
      </c>
      <c r="G318" s="99">
        <f t="shared" si="134"/>
        <v>15312.5</v>
      </c>
      <c r="H318" s="99">
        <f t="shared" si="134"/>
        <v>43487.5</v>
      </c>
      <c r="I318" s="99">
        <f t="shared" si="134"/>
        <v>61300</v>
      </c>
      <c r="J318" s="99">
        <f t="shared" si="134"/>
        <v>74162.5</v>
      </c>
      <c r="K318" s="100">
        <f t="shared" si="134"/>
        <v>102337.5</v>
      </c>
      <c r="L318" s="61"/>
      <c r="M318" s="101">
        <f t="shared" si="134"/>
        <v>603100</v>
      </c>
      <c r="N318" s="99">
        <f t="shared" si="134"/>
        <v>603100</v>
      </c>
      <c r="O318" s="99">
        <f t="shared" si="134"/>
        <v>664350</v>
      </c>
      <c r="P318" s="100">
        <f t="shared" si="134"/>
        <v>664350</v>
      </c>
      <c r="R318" s="35"/>
      <c r="S318" s="36"/>
      <c r="T318" s="36"/>
      <c r="U318" s="36"/>
      <c r="V318" s="36"/>
      <c r="W318" s="36"/>
      <c r="X318" s="36"/>
      <c r="Y318" s="36"/>
      <c r="Z318" s="37"/>
    </row>
    <row r="319" spans="2:26" hidden="1" outlineLevel="1" x14ac:dyDescent="0.25"/>
    <row r="320" spans="2:26" ht="19.5" collapsed="1" x14ac:dyDescent="0.3">
      <c r="B320" s="361" t="s">
        <v>167</v>
      </c>
    </row>
    <row r="321" spans="3:27" ht="25.5" hidden="1" outlineLevel="1" thickTop="1" thickBot="1" x14ac:dyDescent="0.45">
      <c r="C321" s="3" t="s">
        <v>168</v>
      </c>
      <c r="D321" s="4"/>
      <c r="E321" s="4"/>
      <c r="F321" s="4"/>
      <c r="G321" s="4"/>
      <c r="H321" s="4"/>
      <c r="I321" s="4"/>
      <c r="J321" s="4"/>
      <c r="K321" s="4"/>
      <c r="L321" s="4"/>
      <c r="M321" s="4"/>
      <c r="N321" s="4"/>
      <c r="O321" s="4"/>
      <c r="P321" s="4"/>
      <c r="R321" s="5"/>
      <c r="S321" s="3" t="str">
        <f>CompanyName &amp;" Projected Operating Costs Chart"</f>
        <v>Sustainsphere Projected Operating Costs Chart</v>
      </c>
      <c r="T321" s="7"/>
      <c r="U321" s="7"/>
      <c r="V321" s="7"/>
      <c r="W321" s="7"/>
      <c r="X321" s="7"/>
      <c r="Y321" s="7"/>
      <c r="Z321" s="8"/>
    </row>
    <row r="322" spans="3:27" ht="15.75" hidden="1" outlineLevel="1" thickTop="1" x14ac:dyDescent="0.25">
      <c r="C322" s="9" t="str">
        <f>"Operating Expenses ("&amp;SubHeader&amp;")"</f>
        <v>Operating Expenses (EUR)</v>
      </c>
      <c r="D322" s="10"/>
      <c r="E322" s="11"/>
      <c r="F322" s="11"/>
      <c r="R322" s="12"/>
      <c r="Z322" s="13"/>
    </row>
    <row r="323" spans="3:27" ht="18" hidden="1" outlineLevel="1" thickBot="1" x14ac:dyDescent="0.35">
      <c r="D323" s="10"/>
      <c r="E323" s="15"/>
      <c r="F323" s="15"/>
      <c r="G323" s="15"/>
      <c r="H323" s="15"/>
      <c r="I323" s="15"/>
      <c r="J323" s="16"/>
      <c r="K323" s="16"/>
      <c r="L323" s="16"/>
      <c r="M323" s="16"/>
      <c r="N323" s="16"/>
      <c r="O323" s="16"/>
      <c r="P323" s="16"/>
      <c r="R323" s="12"/>
      <c r="S323" s="17" t="s">
        <v>24</v>
      </c>
      <c r="Z323" s="13"/>
    </row>
    <row r="324" spans="3:27" ht="20.25" hidden="1" outlineLevel="1" thickTop="1" x14ac:dyDescent="0.3">
      <c r="C324" s="2" t="s">
        <v>169</v>
      </c>
      <c r="D324" s="14"/>
      <c r="E324" s="15"/>
      <c r="F324" s="15"/>
      <c r="G324" s="15"/>
      <c r="H324" s="15"/>
      <c r="I324" s="15"/>
      <c r="J324" s="16"/>
      <c r="K324" s="16"/>
      <c r="L324" s="16"/>
      <c r="M324" s="16"/>
      <c r="N324" s="16"/>
      <c r="O324" s="16"/>
      <c r="P324" s="16"/>
      <c r="R324" s="12"/>
      <c r="Z324" s="13"/>
    </row>
    <row r="325" spans="3:27" ht="15.75" hidden="1" outlineLevel="1" x14ac:dyDescent="0.25">
      <c r="C325" s="88"/>
      <c r="D325" s="147" t="s">
        <v>170</v>
      </c>
      <c r="E325" s="147" t="s">
        <v>171</v>
      </c>
      <c r="F325" s="512" t="s">
        <v>27</v>
      </c>
      <c r="G325" s="512"/>
      <c r="H325" s="512"/>
      <c r="I325" s="512"/>
      <c r="J325" s="512"/>
      <c r="K325" s="18"/>
      <c r="L325" s="18"/>
      <c r="M325" s="18"/>
      <c r="N325" s="18"/>
      <c r="O325" s="15"/>
      <c r="P325" s="15"/>
      <c r="Q325" s="18"/>
      <c r="R325" s="19"/>
      <c r="S325" s="18"/>
      <c r="T325" s="18"/>
      <c r="U325" s="18"/>
      <c r="V325" s="18"/>
      <c r="W325" s="18"/>
      <c r="X325" s="18"/>
      <c r="Y325" s="18"/>
      <c r="Z325" s="20"/>
      <c r="AA325" s="18"/>
    </row>
    <row r="326" spans="3:27" hidden="1" outlineLevel="1" x14ac:dyDescent="0.25">
      <c r="C326" s="81" t="s">
        <v>172</v>
      </c>
      <c r="D326" s="68">
        <v>15000</v>
      </c>
      <c r="E326" s="90">
        <v>0.08</v>
      </c>
      <c r="F326" s="432" t="s">
        <v>173</v>
      </c>
      <c r="G326" s="433"/>
      <c r="H326" s="433"/>
      <c r="I326" s="433"/>
      <c r="J326" s="434"/>
      <c r="O326" s="15"/>
      <c r="P326" s="15"/>
      <c r="R326" s="12"/>
      <c r="Z326" s="13"/>
    </row>
    <row r="327" spans="3:27" hidden="1" outlineLevel="1" x14ac:dyDescent="0.25">
      <c r="C327" s="81" t="s">
        <v>174</v>
      </c>
      <c r="D327" s="68">
        <v>12000</v>
      </c>
      <c r="E327" s="90">
        <v>0.04</v>
      </c>
      <c r="F327" s="432" t="s">
        <v>175</v>
      </c>
      <c r="G327" s="433"/>
      <c r="H327" s="433"/>
      <c r="I327" s="433"/>
      <c r="J327" s="434"/>
      <c r="O327" s="15"/>
      <c r="P327" s="15"/>
      <c r="R327" s="12"/>
      <c r="Z327" s="13"/>
    </row>
    <row r="328" spans="3:27" hidden="1" outlineLevel="1" x14ac:dyDescent="0.25">
      <c r="C328" s="81" t="s">
        <v>176</v>
      </c>
      <c r="D328" s="68">
        <v>5000</v>
      </c>
      <c r="E328" s="90">
        <v>0.12</v>
      </c>
      <c r="F328" s="432" t="s">
        <v>177</v>
      </c>
      <c r="G328" s="433"/>
      <c r="H328" s="433"/>
      <c r="I328" s="433"/>
      <c r="J328" s="434"/>
      <c r="O328" s="15"/>
      <c r="P328" s="15"/>
      <c r="R328" s="12"/>
      <c r="Z328" s="13"/>
    </row>
    <row r="329" spans="3:27" hidden="1" outlineLevel="1" x14ac:dyDescent="0.25">
      <c r="C329" s="81" t="s">
        <v>178</v>
      </c>
      <c r="D329" s="68">
        <v>10000</v>
      </c>
      <c r="E329" s="90">
        <v>0.18</v>
      </c>
      <c r="F329" s="432" t="s">
        <v>179</v>
      </c>
      <c r="G329" s="433"/>
      <c r="H329" s="433"/>
      <c r="I329" s="433"/>
      <c r="J329" s="434"/>
      <c r="O329" s="15"/>
      <c r="P329" s="15"/>
      <c r="R329" s="12"/>
      <c r="Z329" s="13"/>
    </row>
    <row r="330" spans="3:27" hidden="1" outlineLevel="1" x14ac:dyDescent="0.25">
      <c r="C330" s="81" t="s">
        <v>180</v>
      </c>
      <c r="D330" s="68">
        <v>2000</v>
      </c>
      <c r="E330" s="90">
        <v>0.08</v>
      </c>
      <c r="F330" s="432" t="s">
        <v>181</v>
      </c>
      <c r="G330" s="433"/>
      <c r="H330" s="433"/>
      <c r="I330" s="433"/>
      <c r="J330" s="434"/>
      <c r="O330" s="15"/>
      <c r="P330" s="15"/>
      <c r="R330" s="12"/>
      <c r="Z330" s="13"/>
    </row>
    <row r="331" spans="3:27" hidden="1" outlineLevel="1" x14ac:dyDescent="0.25">
      <c r="C331" s="81" t="s">
        <v>182</v>
      </c>
      <c r="D331" s="68">
        <v>4000</v>
      </c>
      <c r="E331" s="90">
        <v>0.1</v>
      </c>
      <c r="F331" s="432" t="s">
        <v>183</v>
      </c>
      <c r="G331" s="433"/>
      <c r="H331" s="433"/>
      <c r="I331" s="433"/>
      <c r="J331" s="434"/>
      <c r="O331" s="15"/>
      <c r="P331" s="15"/>
      <c r="R331" s="12"/>
      <c r="Z331" s="13"/>
    </row>
    <row r="332" spans="3:27" hidden="1" outlineLevel="1" x14ac:dyDescent="0.25">
      <c r="C332" s="81" t="s">
        <v>184</v>
      </c>
      <c r="D332" s="148">
        <v>3000</v>
      </c>
      <c r="E332" s="90">
        <v>0.06</v>
      </c>
      <c r="F332" s="432" t="s">
        <v>185</v>
      </c>
      <c r="G332" s="433"/>
      <c r="H332" s="433"/>
      <c r="I332" s="433"/>
      <c r="J332" s="434"/>
      <c r="O332" s="15"/>
      <c r="P332" s="15"/>
      <c r="R332" s="12"/>
      <c r="Z332" s="13"/>
    </row>
    <row r="333" spans="3:27" hidden="1" outlineLevel="1" x14ac:dyDescent="0.25">
      <c r="C333" s="123"/>
      <c r="D333" s="123"/>
      <c r="E333" s="123"/>
      <c r="F333" s="123"/>
      <c r="G333" s="123"/>
      <c r="H333" s="15"/>
      <c r="I333" s="15"/>
      <c r="J333" s="15"/>
      <c r="K333" s="15"/>
      <c r="L333" s="15"/>
      <c r="M333" s="15"/>
      <c r="N333" s="15"/>
      <c r="O333" s="15"/>
      <c r="P333" s="15"/>
      <c r="R333" s="12"/>
      <c r="Z333" s="13"/>
    </row>
    <row r="334" spans="3:27" hidden="1" outlineLevel="1" x14ac:dyDescent="0.25">
      <c r="C334" s="52"/>
      <c r="D334" s="124"/>
      <c r="E334" s="124"/>
      <c r="F334" s="124"/>
      <c r="G334" s="124"/>
      <c r="H334" s="124"/>
      <c r="I334" s="124"/>
      <c r="J334" s="124"/>
      <c r="K334" s="124"/>
      <c r="L334" s="124"/>
      <c r="M334" s="124"/>
      <c r="N334" s="124"/>
      <c r="O334" s="124"/>
      <c r="P334" s="124"/>
      <c r="R334" s="12"/>
      <c r="Z334" s="13"/>
    </row>
    <row r="335" spans="3:27" ht="19.5" hidden="1" outlineLevel="1" x14ac:dyDescent="0.3">
      <c r="C335" s="54" t="s">
        <v>186</v>
      </c>
      <c r="R335" s="12"/>
      <c r="Z335" s="13"/>
    </row>
    <row r="336" spans="3:27" hidden="1" outlineLevel="1" x14ac:dyDescent="0.25">
      <c r="C336" s="56"/>
      <c r="D336" s="500" t="s">
        <v>187</v>
      </c>
      <c r="E336" s="500"/>
      <c r="F336" s="500"/>
      <c r="G336" s="500"/>
      <c r="H336" s="500"/>
      <c r="I336" s="500"/>
      <c r="J336" s="500"/>
      <c r="K336" s="500"/>
      <c r="L336" s="61"/>
      <c r="M336" s="499" t="s">
        <v>188</v>
      </c>
      <c r="N336" s="499"/>
      <c r="O336" s="499"/>
      <c r="P336" s="499"/>
      <c r="R336" s="12"/>
      <c r="Z336" s="13"/>
    </row>
    <row r="337" spans="3:27" hidden="1" outlineLevel="1" x14ac:dyDescent="0.25">
      <c r="C337" s="56"/>
      <c r="D337" s="500" t="s">
        <v>42</v>
      </c>
      <c r="E337" s="500"/>
      <c r="F337" s="500"/>
      <c r="G337" s="500"/>
      <c r="H337" s="500" t="s">
        <v>43</v>
      </c>
      <c r="I337" s="500"/>
      <c r="J337" s="500"/>
      <c r="K337" s="500"/>
      <c r="L337" s="61"/>
      <c r="M337" s="62" t="s">
        <v>44</v>
      </c>
      <c r="N337" s="62" t="s">
        <v>45</v>
      </c>
      <c r="O337" s="62" t="s">
        <v>46</v>
      </c>
      <c r="P337" s="62" t="s">
        <v>47</v>
      </c>
      <c r="R337" s="12"/>
      <c r="Z337" s="13"/>
    </row>
    <row r="338" spans="3:27" hidden="1" outlineLevel="1" x14ac:dyDescent="0.25">
      <c r="C338" s="76"/>
      <c r="D338" s="77">
        <f>StartDate</f>
        <v>46023</v>
      </c>
      <c r="E338" s="77">
        <f>EDATE(D338,3)</f>
        <v>46113</v>
      </c>
      <c r="F338" s="77">
        <f t="shared" ref="F338:K338" si="135">EDATE(E338,3)</f>
        <v>46204</v>
      </c>
      <c r="G338" s="77">
        <f t="shared" si="135"/>
        <v>46296</v>
      </c>
      <c r="H338" s="77">
        <f t="shared" si="135"/>
        <v>46388</v>
      </c>
      <c r="I338" s="77">
        <f t="shared" si="135"/>
        <v>46478</v>
      </c>
      <c r="J338" s="77">
        <f t="shared" si="135"/>
        <v>46569</v>
      </c>
      <c r="K338" s="77">
        <f t="shared" si="135"/>
        <v>46661</v>
      </c>
      <c r="L338" s="61"/>
      <c r="M338" s="77">
        <f>EDATE(K338,3)</f>
        <v>46753</v>
      </c>
      <c r="N338" s="77">
        <f t="shared" ref="N338:P338" si="136">EDATE(M338,12)</f>
        <v>47119</v>
      </c>
      <c r="O338" s="77">
        <f t="shared" si="136"/>
        <v>47484</v>
      </c>
      <c r="P338" s="77">
        <f t="shared" si="136"/>
        <v>47849</v>
      </c>
      <c r="Q338" s="105"/>
      <c r="R338" s="12"/>
      <c r="Z338" s="13"/>
      <c r="AA338" s="105"/>
    </row>
    <row r="339" spans="3:27" ht="15.75" hidden="1" outlineLevel="1" thickBot="1" x14ac:dyDescent="0.3">
      <c r="C339" s="59" t="s">
        <v>189</v>
      </c>
      <c r="D339" s="68">
        <v>0</v>
      </c>
      <c r="E339" s="68">
        <v>0</v>
      </c>
      <c r="F339" s="68">
        <v>0</v>
      </c>
      <c r="G339" s="68">
        <v>0</v>
      </c>
      <c r="H339" s="68">
        <v>0</v>
      </c>
      <c r="I339" s="68">
        <v>0</v>
      </c>
      <c r="J339" s="68">
        <v>0</v>
      </c>
      <c r="K339" s="68">
        <v>0</v>
      </c>
      <c r="L339" s="61"/>
      <c r="M339" s="68">
        <v>0</v>
      </c>
      <c r="N339" s="68">
        <v>0</v>
      </c>
      <c r="O339" s="68">
        <v>0</v>
      </c>
      <c r="P339" s="68">
        <v>0</v>
      </c>
      <c r="Q339" s="105"/>
      <c r="R339" s="35"/>
      <c r="S339" s="36"/>
      <c r="T339" s="36"/>
      <c r="U339" s="36"/>
      <c r="V339" s="36"/>
      <c r="W339" s="36"/>
      <c r="X339" s="36"/>
      <c r="Y339" s="36"/>
      <c r="Z339" s="37"/>
      <c r="AA339" s="105"/>
    </row>
    <row r="340" spans="3:27" ht="15.75" hidden="1" outlineLevel="1" thickTop="1" x14ac:dyDescent="0.25">
      <c r="C340" s="59" t="str">
        <f t="shared" ref="C340:C346" si="137">C326</f>
        <v>Professional Services</v>
      </c>
      <c r="D340" s="109">
        <f>$D326*(1+$E326)^(YEAR(D$338)-YEAR($D$338))/4</f>
        <v>3750</v>
      </c>
      <c r="E340" s="109">
        <f t="shared" ref="E340:J340" si="138">$D326*(1+$E326)^(YEAR(E$338)-YEAR($D$338))/4</f>
        <v>3750</v>
      </c>
      <c r="F340" s="109">
        <f t="shared" si="138"/>
        <v>3750</v>
      </c>
      <c r="G340" s="109">
        <f t="shared" si="138"/>
        <v>3750</v>
      </c>
      <c r="H340" s="109">
        <f t="shared" si="138"/>
        <v>4050.0000000000005</v>
      </c>
      <c r="I340" s="109">
        <f t="shared" si="138"/>
        <v>4050.0000000000005</v>
      </c>
      <c r="J340" s="109">
        <f t="shared" si="138"/>
        <v>4050.0000000000005</v>
      </c>
      <c r="K340" s="109">
        <f>$D326*(1+$E326)^(YEAR(K$338)-YEAR($D$338))/4</f>
        <v>4050.0000000000005</v>
      </c>
      <c r="L340" s="61"/>
      <c r="M340" s="109">
        <f>$D326*(1+$E326)^(YEAR(M$338)-YEAR($D$338))</f>
        <v>17496</v>
      </c>
      <c r="N340" s="109">
        <f t="shared" ref="N340:P340" si="139">$D326*(1+$E326)^(YEAR(N$338)-YEAR($D$338))</f>
        <v>18895.680000000004</v>
      </c>
      <c r="O340" s="109">
        <f t="shared" si="139"/>
        <v>20407.334400000003</v>
      </c>
      <c r="P340" s="109">
        <f t="shared" si="139"/>
        <v>22039.921152000006</v>
      </c>
      <c r="R340" s="41"/>
      <c r="S340" s="42"/>
      <c r="T340" s="42"/>
      <c r="U340" s="42"/>
      <c r="V340" s="42"/>
      <c r="W340" s="42"/>
      <c r="X340" s="42"/>
      <c r="Y340" s="42"/>
      <c r="Z340" s="43"/>
    </row>
    <row r="341" spans="3:27" ht="18" hidden="1" outlineLevel="1" thickBot="1" x14ac:dyDescent="0.35">
      <c r="C341" s="59" t="str">
        <f t="shared" si="137"/>
        <v>Office</v>
      </c>
      <c r="D341" s="109">
        <f t="shared" ref="D341:K346" si="140">$D327*(1+$E327)^(YEAR(D$338)-YEAR($D$338))/4</f>
        <v>3000</v>
      </c>
      <c r="E341" s="109">
        <f t="shared" si="140"/>
        <v>3000</v>
      </c>
      <c r="F341" s="109">
        <f t="shared" si="140"/>
        <v>3000</v>
      </c>
      <c r="G341" s="109">
        <f t="shared" si="140"/>
        <v>3000</v>
      </c>
      <c r="H341" s="109">
        <f t="shared" si="140"/>
        <v>3120</v>
      </c>
      <c r="I341" s="109">
        <f t="shared" si="140"/>
        <v>3120</v>
      </c>
      <c r="J341" s="109">
        <f t="shared" si="140"/>
        <v>3120</v>
      </c>
      <c r="K341" s="109">
        <f t="shared" si="140"/>
        <v>3120</v>
      </c>
      <c r="L341" s="61"/>
      <c r="M341" s="109">
        <f t="shared" ref="M341:P346" si="141">$D327*(1+$E327)^(YEAR(M$338)-YEAR($D$338))</f>
        <v>12979.2</v>
      </c>
      <c r="N341" s="109">
        <f t="shared" si="141"/>
        <v>13498.368</v>
      </c>
      <c r="O341" s="109">
        <f t="shared" si="141"/>
        <v>14038.302720000003</v>
      </c>
      <c r="P341" s="109">
        <f t="shared" si="141"/>
        <v>14599.834828800003</v>
      </c>
      <c r="R341" s="12"/>
      <c r="S341" s="17" t="s">
        <v>48</v>
      </c>
      <c r="Z341" s="13"/>
    </row>
    <row r="342" spans="3:27" ht="15.75" hidden="1" outlineLevel="1" thickTop="1" x14ac:dyDescent="0.25">
      <c r="C342" s="59" t="str">
        <f t="shared" si="137"/>
        <v>R&amp;D Expenses</v>
      </c>
      <c r="D342" s="109">
        <f t="shared" si="140"/>
        <v>1250</v>
      </c>
      <c r="E342" s="109">
        <f t="shared" si="140"/>
        <v>1250</v>
      </c>
      <c r="F342" s="109">
        <f t="shared" si="140"/>
        <v>1250</v>
      </c>
      <c r="G342" s="109">
        <f t="shared" si="140"/>
        <v>1250</v>
      </c>
      <c r="H342" s="109">
        <f t="shared" si="140"/>
        <v>1400.0000000000002</v>
      </c>
      <c r="I342" s="109">
        <f t="shared" si="140"/>
        <v>1400.0000000000002</v>
      </c>
      <c r="J342" s="109">
        <f t="shared" si="140"/>
        <v>1400.0000000000002</v>
      </c>
      <c r="K342" s="109">
        <f t="shared" si="140"/>
        <v>1400.0000000000002</v>
      </c>
      <c r="L342" s="61"/>
      <c r="M342" s="109">
        <f t="shared" si="141"/>
        <v>6272.0000000000009</v>
      </c>
      <c r="N342" s="109">
        <f t="shared" si="141"/>
        <v>7024.6400000000021</v>
      </c>
      <c r="O342" s="109">
        <f t="shared" si="141"/>
        <v>7867.5968000000021</v>
      </c>
      <c r="P342" s="109">
        <f t="shared" si="141"/>
        <v>8811.7084160000031</v>
      </c>
      <c r="R342" s="12"/>
      <c r="Z342" s="13"/>
    </row>
    <row r="343" spans="3:27" hidden="1" outlineLevel="1" x14ac:dyDescent="0.25">
      <c r="C343" s="59" t="str">
        <f t="shared" si="137"/>
        <v>Sales and Marketing</v>
      </c>
      <c r="D343" s="109">
        <f t="shared" si="140"/>
        <v>2500</v>
      </c>
      <c r="E343" s="109">
        <f t="shared" si="140"/>
        <v>2500</v>
      </c>
      <c r="F343" s="109">
        <f t="shared" si="140"/>
        <v>2500</v>
      </c>
      <c r="G343" s="109">
        <f t="shared" si="140"/>
        <v>2500</v>
      </c>
      <c r="H343" s="109">
        <f t="shared" si="140"/>
        <v>2950</v>
      </c>
      <c r="I343" s="109">
        <f t="shared" si="140"/>
        <v>2950</v>
      </c>
      <c r="J343" s="109">
        <f t="shared" si="140"/>
        <v>2950</v>
      </c>
      <c r="K343" s="109">
        <f t="shared" si="140"/>
        <v>2950</v>
      </c>
      <c r="L343" s="61"/>
      <c r="M343" s="109">
        <f t="shared" si="141"/>
        <v>13923.999999999998</v>
      </c>
      <c r="N343" s="109">
        <f t="shared" si="141"/>
        <v>16430.32</v>
      </c>
      <c r="O343" s="109">
        <f t="shared" si="141"/>
        <v>19387.777599999994</v>
      </c>
      <c r="P343" s="109">
        <f t="shared" si="141"/>
        <v>22877.577567999993</v>
      </c>
      <c r="R343" s="12"/>
      <c r="T343" s="514" t="s">
        <v>52</v>
      </c>
      <c r="U343" s="515"/>
      <c r="V343" s="515"/>
      <c r="W343" s="515"/>
      <c r="X343" s="515"/>
      <c r="Y343" s="516"/>
      <c r="Z343" s="13"/>
    </row>
    <row r="344" spans="3:27" hidden="1" outlineLevel="1" x14ac:dyDescent="0.25">
      <c r="C344" s="59" t="str">
        <f t="shared" si="137"/>
        <v>Travel</v>
      </c>
      <c r="D344" s="109">
        <f t="shared" si="140"/>
        <v>500</v>
      </c>
      <c r="E344" s="109">
        <f t="shared" si="140"/>
        <v>500</v>
      </c>
      <c r="F344" s="109">
        <f t="shared" si="140"/>
        <v>500</v>
      </c>
      <c r="G344" s="109">
        <f t="shared" si="140"/>
        <v>500</v>
      </c>
      <c r="H344" s="109">
        <f t="shared" si="140"/>
        <v>540</v>
      </c>
      <c r="I344" s="109">
        <f t="shared" si="140"/>
        <v>540</v>
      </c>
      <c r="J344" s="109">
        <f t="shared" si="140"/>
        <v>540</v>
      </c>
      <c r="K344" s="109">
        <f t="shared" si="140"/>
        <v>540</v>
      </c>
      <c r="L344" s="61"/>
      <c r="M344" s="109">
        <f t="shared" si="141"/>
        <v>2332.8000000000002</v>
      </c>
      <c r="N344" s="109">
        <f t="shared" si="141"/>
        <v>2519.4240000000004</v>
      </c>
      <c r="O344" s="109">
        <f t="shared" si="141"/>
        <v>2720.9779200000007</v>
      </c>
      <c r="P344" s="109">
        <f t="shared" si="141"/>
        <v>2938.6561536000008</v>
      </c>
      <c r="R344" s="12"/>
      <c r="T344" s="28" t="s">
        <v>42</v>
      </c>
      <c r="U344" s="29" t="s">
        <v>43</v>
      </c>
      <c r="V344" s="29" t="s">
        <v>44</v>
      </c>
      <c r="W344" s="29" t="s">
        <v>45</v>
      </c>
      <c r="X344" s="29" t="s">
        <v>46</v>
      </c>
      <c r="Y344" s="30" t="s">
        <v>47</v>
      </c>
      <c r="Z344" s="13"/>
    </row>
    <row r="345" spans="3:27" hidden="1" outlineLevel="1" x14ac:dyDescent="0.25">
      <c r="C345" s="59" t="str">
        <f t="shared" si="137"/>
        <v>Administrative</v>
      </c>
      <c r="D345" s="109">
        <f t="shared" si="140"/>
        <v>1000</v>
      </c>
      <c r="E345" s="109">
        <f t="shared" si="140"/>
        <v>1000</v>
      </c>
      <c r="F345" s="109">
        <f t="shared" si="140"/>
        <v>1000</v>
      </c>
      <c r="G345" s="109">
        <f t="shared" si="140"/>
        <v>1000</v>
      </c>
      <c r="H345" s="109">
        <f t="shared" si="140"/>
        <v>1100</v>
      </c>
      <c r="I345" s="109">
        <f t="shared" si="140"/>
        <v>1100</v>
      </c>
      <c r="J345" s="109">
        <f t="shared" si="140"/>
        <v>1100</v>
      </c>
      <c r="K345" s="109">
        <f t="shared" si="140"/>
        <v>1100</v>
      </c>
      <c r="L345" s="61"/>
      <c r="M345" s="109">
        <f t="shared" si="141"/>
        <v>4840.0000000000009</v>
      </c>
      <c r="N345" s="109">
        <f t="shared" si="141"/>
        <v>5324.0000000000018</v>
      </c>
      <c r="O345" s="109">
        <f t="shared" si="141"/>
        <v>5856.4000000000015</v>
      </c>
      <c r="P345" s="109">
        <f t="shared" si="141"/>
        <v>6442.0400000000018</v>
      </c>
      <c r="R345" s="12"/>
      <c r="T345" s="44">
        <f>D338</f>
        <v>46023</v>
      </c>
      <c r="U345" s="45">
        <f>H338</f>
        <v>46388</v>
      </c>
      <c r="V345" s="45">
        <f>M338</f>
        <v>46753</v>
      </c>
      <c r="W345" s="45">
        <f t="shared" ref="W345:Y353" si="142">N338</f>
        <v>47119</v>
      </c>
      <c r="X345" s="45">
        <f t="shared" si="142"/>
        <v>47484</v>
      </c>
      <c r="Y345" s="46">
        <f t="shared" si="142"/>
        <v>47849</v>
      </c>
      <c r="Z345" s="13"/>
    </row>
    <row r="346" spans="3:27" ht="15.75" hidden="1" outlineLevel="1" thickBot="1" x14ac:dyDescent="0.3">
      <c r="C346" s="111" t="str">
        <f t="shared" si="137"/>
        <v>Other costs</v>
      </c>
      <c r="D346" s="112">
        <f t="shared" si="140"/>
        <v>750</v>
      </c>
      <c r="E346" s="112">
        <f t="shared" si="140"/>
        <v>750</v>
      </c>
      <c r="F346" s="112">
        <f t="shared" si="140"/>
        <v>750</v>
      </c>
      <c r="G346" s="112">
        <f t="shared" si="140"/>
        <v>750</v>
      </c>
      <c r="H346" s="112">
        <f t="shared" si="140"/>
        <v>795</v>
      </c>
      <c r="I346" s="112">
        <f t="shared" si="140"/>
        <v>795</v>
      </c>
      <c r="J346" s="112">
        <f t="shared" si="140"/>
        <v>795</v>
      </c>
      <c r="K346" s="112">
        <f t="shared" si="140"/>
        <v>795</v>
      </c>
      <c r="L346" s="61"/>
      <c r="M346" s="112">
        <f t="shared" si="141"/>
        <v>3370.8000000000006</v>
      </c>
      <c r="N346" s="112">
        <f t="shared" si="141"/>
        <v>3573.0480000000007</v>
      </c>
      <c r="O346" s="112">
        <f t="shared" si="141"/>
        <v>3787.4308800000008</v>
      </c>
      <c r="P346" s="112">
        <f t="shared" si="141"/>
        <v>4014.6767328000014</v>
      </c>
      <c r="R346" s="12"/>
      <c r="S346" s="31" t="str">
        <f t="shared" ref="S346:S354" si="143">C339</f>
        <v>Initial Startup costs</v>
      </c>
      <c r="T346" s="32">
        <f t="shared" ref="T346:U353" si="144">SUM(D339:G339)</f>
        <v>0</v>
      </c>
      <c r="U346" s="32">
        <f t="shared" si="144"/>
        <v>0</v>
      </c>
      <c r="V346" s="33">
        <f>M339</f>
        <v>0</v>
      </c>
      <c r="W346" s="33">
        <f t="shared" si="142"/>
        <v>0</v>
      </c>
      <c r="X346" s="33">
        <f t="shared" si="142"/>
        <v>0</v>
      </c>
      <c r="Y346" s="34">
        <f t="shared" si="142"/>
        <v>0</v>
      </c>
      <c r="Z346" s="13"/>
    </row>
    <row r="347" spans="3:27" ht="15.75" hidden="1" outlineLevel="1" thickBot="1" x14ac:dyDescent="0.3">
      <c r="C347" s="98" t="s">
        <v>58</v>
      </c>
      <c r="D347" s="99">
        <f>SUM(D339:D346)</f>
        <v>12750</v>
      </c>
      <c r="E347" s="99">
        <f t="shared" ref="E347:P347" si="145">SUM(E339:E346)</f>
        <v>12750</v>
      </c>
      <c r="F347" s="99">
        <f t="shared" si="145"/>
        <v>12750</v>
      </c>
      <c r="G347" s="99">
        <f t="shared" si="145"/>
        <v>12750</v>
      </c>
      <c r="H347" s="99">
        <f t="shared" si="145"/>
        <v>13955</v>
      </c>
      <c r="I347" s="99">
        <f t="shared" si="145"/>
        <v>13955</v>
      </c>
      <c r="J347" s="99">
        <f t="shared" si="145"/>
        <v>13955</v>
      </c>
      <c r="K347" s="100">
        <f t="shared" si="145"/>
        <v>13955</v>
      </c>
      <c r="L347" s="61"/>
      <c r="M347" s="101">
        <f t="shared" si="145"/>
        <v>61214.80000000001</v>
      </c>
      <c r="N347" s="99">
        <f t="shared" si="145"/>
        <v>67265.48</v>
      </c>
      <c r="O347" s="99">
        <f t="shared" si="145"/>
        <v>74065.820319999999</v>
      </c>
      <c r="P347" s="100">
        <f t="shared" si="145"/>
        <v>81724.41485120001</v>
      </c>
      <c r="Q347" s="106"/>
      <c r="R347" s="12"/>
      <c r="S347" s="31" t="str">
        <f t="shared" si="143"/>
        <v>Professional Services</v>
      </c>
      <c r="T347" s="32">
        <f t="shared" si="144"/>
        <v>15000</v>
      </c>
      <c r="U347" s="33">
        <f t="shared" ref="U347:U353" si="146">SUM(H340:K340)</f>
        <v>16200.000000000002</v>
      </c>
      <c r="V347" s="33">
        <f t="shared" ref="V347:V353" si="147">M340</f>
        <v>17496</v>
      </c>
      <c r="W347" s="33">
        <f t="shared" si="142"/>
        <v>18895.680000000004</v>
      </c>
      <c r="X347" s="33">
        <f t="shared" si="142"/>
        <v>20407.334400000003</v>
      </c>
      <c r="Y347" s="34">
        <f t="shared" si="142"/>
        <v>22039.921152000006</v>
      </c>
      <c r="Z347" s="13"/>
      <c r="AA347" s="106"/>
    </row>
    <row r="348" spans="3:27" hidden="1" outlineLevel="1" x14ac:dyDescent="0.25">
      <c r="D348" s="50"/>
      <c r="E348" s="50"/>
      <c r="F348" s="50"/>
      <c r="G348" s="50"/>
      <c r="H348" s="50"/>
      <c r="I348" s="50"/>
      <c r="J348" s="50"/>
      <c r="K348" s="50"/>
      <c r="L348" s="50"/>
      <c r="M348" s="50"/>
      <c r="N348" s="50"/>
      <c r="O348" s="50"/>
      <c r="P348" s="50"/>
      <c r="R348" s="12"/>
      <c r="S348" s="31" t="str">
        <f t="shared" si="143"/>
        <v>Office</v>
      </c>
      <c r="T348" s="32">
        <f t="shared" si="144"/>
        <v>12000</v>
      </c>
      <c r="U348" s="33">
        <f t="shared" si="146"/>
        <v>12480</v>
      </c>
      <c r="V348" s="33">
        <f t="shared" si="147"/>
        <v>12979.2</v>
      </c>
      <c r="W348" s="33">
        <f t="shared" si="142"/>
        <v>13498.368</v>
      </c>
      <c r="X348" s="33">
        <f t="shared" si="142"/>
        <v>14038.302720000003</v>
      </c>
      <c r="Y348" s="34">
        <f t="shared" si="142"/>
        <v>14599.834828800003</v>
      </c>
      <c r="Z348" s="13"/>
    </row>
    <row r="349" spans="3:27" hidden="1" outlineLevel="1" x14ac:dyDescent="0.25">
      <c r="R349" s="12"/>
      <c r="S349" s="31" t="str">
        <f t="shared" si="143"/>
        <v>R&amp;D Expenses</v>
      </c>
      <c r="T349" s="32">
        <f t="shared" si="144"/>
        <v>5000</v>
      </c>
      <c r="U349" s="33">
        <f t="shared" si="146"/>
        <v>5600.0000000000009</v>
      </c>
      <c r="V349" s="33">
        <f t="shared" si="147"/>
        <v>6272.0000000000009</v>
      </c>
      <c r="W349" s="33">
        <f t="shared" si="142"/>
        <v>7024.6400000000021</v>
      </c>
      <c r="X349" s="33">
        <f t="shared" si="142"/>
        <v>7867.5968000000021</v>
      </c>
      <c r="Y349" s="34">
        <f t="shared" si="142"/>
        <v>8811.7084160000031</v>
      </c>
      <c r="Z349" s="13"/>
    </row>
    <row r="350" spans="3:27" ht="20.25" hidden="1" outlineLevel="1" thickBot="1" x14ac:dyDescent="0.35">
      <c r="C350" s="26" t="s">
        <v>190</v>
      </c>
      <c r="R350" s="12"/>
      <c r="S350" s="31" t="str">
        <f t="shared" si="143"/>
        <v>Sales and Marketing</v>
      </c>
      <c r="T350" s="32">
        <f t="shared" si="144"/>
        <v>10000</v>
      </c>
      <c r="U350" s="33">
        <f t="shared" si="146"/>
        <v>11800</v>
      </c>
      <c r="V350" s="33">
        <f t="shared" si="147"/>
        <v>13923.999999999998</v>
      </c>
      <c r="W350" s="33">
        <f t="shared" si="142"/>
        <v>16430.32</v>
      </c>
      <c r="X350" s="33">
        <f t="shared" si="142"/>
        <v>19387.777599999994</v>
      </c>
      <c r="Y350" s="34">
        <f t="shared" si="142"/>
        <v>22877.577567999993</v>
      </c>
      <c r="Z350" s="13"/>
    </row>
    <row r="351" spans="3:27" ht="15.75" hidden="1" outlineLevel="1" thickTop="1" x14ac:dyDescent="0.25">
      <c r="C351" s="81" t="s">
        <v>191</v>
      </c>
      <c r="D351" s="89">
        <v>0.15</v>
      </c>
      <c r="E351" s="525"/>
      <c r="F351" s="526"/>
      <c r="G351" s="526"/>
      <c r="H351" s="526"/>
      <c r="I351" s="526"/>
      <c r="J351" s="526"/>
      <c r="R351" s="12"/>
      <c r="S351" s="31" t="str">
        <f t="shared" si="143"/>
        <v>Travel</v>
      </c>
      <c r="T351" s="32">
        <f t="shared" si="144"/>
        <v>2000</v>
      </c>
      <c r="U351" s="33">
        <f t="shared" si="146"/>
        <v>2160</v>
      </c>
      <c r="V351" s="33">
        <f t="shared" si="147"/>
        <v>2332.8000000000002</v>
      </c>
      <c r="W351" s="33">
        <f t="shared" si="142"/>
        <v>2519.4240000000004</v>
      </c>
      <c r="X351" s="33">
        <f t="shared" si="142"/>
        <v>2720.9779200000007</v>
      </c>
      <c r="Y351" s="34">
        <f t="shared" si="142"/>
        <v>2938.6561536000008</v>
      </c>
      <c r="Z351" s="13"/>
    </row>
    <row r="352" spans="3:27" hidden="1" outlineLevel="1" x14ac:dyDescent="0.25">
      <c r="C352" s="81" t="s">
        <v>192</v>
      </c>
      <c r="D352" s="109">
        <v>100000</v>
      </c>
      <c r="E352" t="s">
        <v>193</v>
      </c>
      <c r="R352" s="12"/>
      <c r="S352" s="31" t="str">
        <f t="shared" si="143"/>
        <v>Administrative</v>
      </c>
      <c r="T352" s="32">
        <f t="shared" si="144"/>
        <v>4000</v>
      </c>
      <c r="U352" s="33">
        <f t="shared" si="146"/>
        <v>4400</v>
      </c>
      <c r="V352" s="33">
        <f t="shared" si="147"/>
        <v>4840.0000000000009</v>
      </c>
      <c r="W352" s="33">
        <f t="shared" si="142"/>
        <v>5324.0000000000018</v>
      </c>
      <c r="X352" s="33">
        <f t="shared" si="142"/>
        <v>5856.4000000000015</v>
      </c>
      <c r="Y352" s="34">
        <f t="shared" si="142"/>
        <v>6442.0400000000018</v>
      </c>
      <c r="Z352" s="13"/>
    </row>
    <row r="353" spans="18:26" ht="15.75" hidden="1" outlineLevel="1" thickBot="1" x14ac:dyDescent="0.3">
      <c r="R353" s="12"/>
      <c r="S353" s="31" t="str">
        <f t="shared" si="143"/>
        <v>Other costs</v>
      </c>
      <c r="T353" s="38">
        <f t="shared" si="144"/>
        <v>3000</v>
      </c>
      <c r="U353" s="39">
        <f t="shared" si="146"/>
        <v>3180</v>
      </c>
      <c r="V353" s="39">
        <f t="shared" si="147"/>
        <v>3370.8000000000006</v>
      </c>
      <c r="W353" s="39">
        <f t="shared" si="142"/>
        <v>3573.0480000000007</v>
      </c>
      <c r="X353" s="39">
        <f t="shared" si="142"/>
        <v>3787.4308800000008</v>
      </c>
      <c r="Y353" s="40">
        <f t="shared" si="142"/>
        <v>4014.6767328000014</v>
      </c>
      <c r="Z353" s="13"/>
    </row>
    <row r="354" spans="18:26" ht="15.75" hidden="1" outlineLevel="1" thickTop="1" x14ac:dyDescent="0.25">
      <c r="R354" s="12"/>
      <c r="S354" s="31" t="str">
        <f t="shared" si="143"/>
        <v xml:space="preserve">Total </v>
      </c>
      <c r="T354" s="47">
        <f>SUM(T346:T353)</f>
        <v>51000</v>
      </c>
      <c r="U354" s="47">
        <f t="shared" ref="U354:Y354" si="148">SUM(U346:U353)</f>
        <v>55820</v>
      </c>
      <c r="V354" s="47">
        <f t="shared" si="148"/>
        <v>61214.80000000001</v>
      </c>
      <c r="W354" s="47">
        <f t="shared" si="148"/>
        <v>67265.48</v>
      </c>
      <c r="X354" s="47">
        <f t="shared" si="148"/>
        <v>74065.820319999999</v>
      </c>
      <c r="Y354" s="48">
        <f t="shared" si="148"/>
        <v>81724.41485120001</v>
      </c>
      <c r="Z354" s="13"/>
    </row>
    <row r="355" spans="18:26" hidden="1" outlineLevel="1" x14ac:dyDescent="0.25">
      <c r="R355" s="12"/>
      <c r="Z355" s="13"/>
    </row>
    <row r="356" spans="18:26" hidden="1" outlineLevel="1" x14ac:dyDescent="0.25">
      <c r="R356" s="12"/>
      <c r="Z356" s="13"/>
    </row>
    <row r="357" spans="18:26" hidden="1" outlineLevel="1" x14ac:dyDescent="0.25">
      <c r="R357" s="12"/>
      <c r="Z357" s="13"/>
    </row>
    <row r="358" spans="18:26" hidden="1" outlineLevel="1" x14ac:dyDescent="0.25">
      <c r="R358" s="12"/>
      <c r="Z358" s="13"/>
    </row>
    <row r="359" spans="18:26" hidden="1" outlineLevel="1" x14ac:dyDescent="0.25">
      <c r="R359" s="12"/>
      <c r="Z359" s="13"/>
    </row>
    <row r="360" spans="18:26" hidden="1" outlineLevel="1" x14ac:dyDescent="0.25">
      <c r="R360" s="12"/>
      <c r="Z360" s="13"/>
    </row>
    <row r="361" spans="18:26" hidden="1" outlineLevel="1" x14ac:dyDescent="0.25">
      <c r="R361" s="12"/>
      <c r="Z361" s="13"/>
    </row>
    <row r="362" spans="18:26" hidden="1" outlineLevel="1" x14ac:dyDescent="0.25">
      <c r="R362" s="12"/>
      <c r="Z362" s="13"/>
    </row>
    <row r="363" spans="18:26" hidden="1" outlineLevel="1" x14ac:dyDescent="0.25">
      <c r="R363" s="12"/>
      <c r="Z363" s="13"/>
    </row>
    <row r="364" spans="18:26" hidden="1" outlineLevel="1" x14ac:dyDescent="0.25">
      <c r="R364" s="12"/>
      <c r="Z364" s="13"/>
    </row>
    <row r="365" spans="18:26" hidden="1" outlineLevel="1" x14ac:dyDescent="0.25">
      <c r="R365" s="12"/>
      <c r="Z365" s="13"/>
    </row>
    <row r="366" spans="18:26" hidden="1" outlineLevel="1" x14ac:dyDescent="0.25">
      <c r="R366" s="12"/>
      <c r="Z366" s="13"/>
    </row>
    <row r="367" spans="18:26" hidden="1" outlineLevel="1" x14ac:dyDescent="0.25">
      <c r="R367" s="12"/>
      <c r="Z367" s="13"/>
    </row>
    <row r="368" spans="18:26" hidden="1" outlineLevel="1" x14ac:dyDescent="0.25">
      <c r="R368" s="12"/>
      <c r="Z368" s="13"/>
    </row>
    <row r="369" spans="2:35" hidden="1" outlineLevel="1" x14ac:dyDescent="0.25">
      <c r="R369" s="12"/>
      <c r="Z369" s="13"/>
    </row>
    <row r="370" spans="2:35" hidden="1" outlineLevel="1" x14ac:dyDescent="0.25">
      <c r="R370" s="12"/>
      <c r="Z370" s="13"/>
    </row>
    <row r="371" spans="2:35" hidden="1" outlineLevel="1" x14ac:dyDescent="0.25">
      <c r="R371" s="12"/>
      <c r="Z371" s="13"/>
    </row>
    <row r="372" spans="2:35" hidden="1" outlineLevel="1" x14ac:dyDescent="0.25">
      <c r="R372" s="12"/>
      <c r="Z372" s="13"/>
    </row>
    <row r="373" spans="2:35" hidden="1" outlineLevel="1" x14ac:dyDescent="0.25">
      <c r="R373" s="12"/>
      <c r="Z373" s="13"/>
    </row>
    <row r="374" spans="2:35" hidden="1" outlineLevel="1" x14ac:dyDescent="0.25">
      <c r="R374" s="12"/>
      <c r="Z374" s="13"/>
    </row>
    <row r="375" spans="2:35" hidden="1" outlineLevel="1" x14ac:dyDescent="0.25">
      <c r="R375" s="12"/>
      <c r="Z375" s="13"/>
    </row>
    <row r="376" spans="2:35" ht="15.75" hidden="1" outlineLevel="1" thickBot="1" x14ac:dyDescent="0.3">
      <c r="R376" s="35"/>
      <c r="S376" s="36"/>
      <c r="T376" s="36"/>
      <c r="U376" s="36"/>
      <c r="V376" s="36"/>
      <c r="W376" s="36"/>
      <c r="X376" s="36"/>
      <c r="Y376" s="36"/>
      <c r="Z376" s="37"/>
    </row>
    <row r="377" spans="2:35" ht="15.75" hidden="1" outlineLevel="1" thickTop="1" x14ac:dyDescent="0.25"/>
    <row r="378" spans="2:35" ht="19.5" collapsed="1" x14ac:dyDescent="0.3">
      <c r="B378" s="362" t="s">
        <v>194</v>
      </c>
    </row>
    <row r="379" spans="2:35" ht="25.5" hidden="1" outlineLevel="1" thickTop="1" thickBot="1" x14ac:dyDescent="0.45">
      <c r="C379" s="3" t="s">
        <v>195</v>
      </c>
      <c r="D379" s="4"/>
      <c r="E379" s="4"/>
      <c r="F379" s="4"/>
      <c r="G379" s="4"/>
      <c r="H379" s="4"/>
      <c r="I379" s="4"/>
      <c r="J379" s="4"/>
      <c r="K379" s="4"/>
      <c r="L379" s="4"/>
      <c r="M379" s="4"/>
      <c r="N379" s="4"/>
      <c r="O379" s="4"/>
      <c r="P379" s="4"/>
      <c r="R379" s="5"/>
      <c r="S379" s="3" t="str">
        <f>CompanyName &amp;" Projected Capital Expenditure Annualised"</f>
        <v>Sustainsphere Projected Capital Expenditure Annualised</v>
      </c>
      <c r="T379" s="7"/>
      <c r="U379" s="7"/>
      <c r="V379" s="7"/>
      <c r="W379" s="7"/>
      <c r="X379" s="7"/>
      <c r="Y379" s="7"/>
      <c r="Z379" s="8"/>
      <c r="AA379" s="5"/>
      <c r="AB379" s="3" t="str">
        <f>CompanyName &amp;" Projected Capital Expenditure Charts"</f>
        <v>Sustainsphere Projected Capital Expenditure Charts</v>
      </c>
      <c r="AC379" s="7"/>
      <c r="AD379" s="7"/>
      <c r="AE379" s="7"/>
      <c r="AF379" s="7"/>
      <c r="AG379" s="7"/>
      <c r="AH379" s="8"/>
    </row>
    <row r="380" spans="2:35" ht="15.75" hidden="1" outlineLevel="1" thickTop="1" x14ac:dyDescent="0.25">
      <c r="C380" s="9" t="str">
        <f>"Capital Expenditure ("&amp;SubHeader&amp;")"</f>
        <v>Capital Expenditure (EUR)</v>
      </c>
      <c r="E380" s="11"/>
      <c r="F380" s="11"/>
      <c r="R380" s="12"/>
      <c r="Z380" s="13"/>
      <c r="AA380" s="12"/>
      <c r="AH380" s="13"/>
    </row>
    <row r="381" spans="2:35" ht="18" hidden="1" outlineLevel="1" thickBot="1" x14ac:dyDescent="0.35">
      <c r="D381" s="14"/>
      <c r="E381" s="15"/>
      <c r="F381" s="15"/>
      <c r="G381" s="15"/>
      <c r="H381" s="15"/>
      <c r="I381" s="15"/>
      <c r="J381" s="16"/>
      <c r="K381" s="16"/>
      <c r="L381" s="16"/>
      <c r="M381" s="16"/>
      <c r="N381" s="16"/>
      <c r="O381" s="16"/>
      <c r="P381" s="16"/>
      <c r="R381" s="12"/>
      <c r="S381" s="17"/>
      <c r="Z381" s="13"/>
      <c r="AA381" s="12"/>
      <c r="AB381" s="17"/>
      <c r="AH381" s="13"/>
    </row>
    <row r="382" spans="2:35" ht="21" hidden="1" outlineLevel="1" thickTop="1" thickBot="1" x14ac:dyDescent="0.35">
      <c r="C382" s="1" t="s">
        <v>196</v>
      </c>
      <c r="D382" s="14"/>
      <c r="E382" s="15"/>
      <c r="F382" s="15"/>
      <c r="G382" s="15"/>
      <c r="H382" s="15"/>
      <c r="I382" s="16"/>
      <c r="J382" s="16"/>
      <c r="K382" s="16"/>
      <c r="L382" s="16"/>
      <c r="M382" s="16"/>
      <c r="N382" s="16"/>
      <c r="O382" s="16"/>
      <c r="P382" s="16"/>
      <c r="R382" s="12"/>
      <c r="Z382" s="13"/>
      <c r="AA382" s="12"/>
      <c r="AH382" s="13"/>
    </row>
    <row r="383" spans="2:35" ht="32.25" hidden="1" outlineLevel="1" thickTop="1" x14ac:dyDescent="0.25">
      <c r="C383" s="18"/>
      <c r="D383" s="149" t="s">
        <v>197</v>
      </c>
      <c r="E383" s="149" t="s">
        <v>198</v>
      </c>
      <c r="F383" s="149" t="s">
        <v>199</v>
      </c>
      <c r="G383" s="150" t="s">
        <v>200</v>
      </c>
      <c r="H383" s="527" t="s">
        <v>27</v>
      </c>
      <c r="I383" s="527"/>
      <c r="J383" s="528"/>
      <c r="K383" s="18"/>
      <c r="L383" s="18"/>
      <c r="M383" s="18"/>
      <c r="N383" s="18"/>
      <c r="O383" s="18"/>
      <c r="P383" s="18"/>
      <c r="Q383" s="18"/>
      <c r="R383" s="19"/>
      <c r="S383" s="18"/>
      <c r="T383" s="18"/>
      <c r="U383" s="18"/>
      <c r="V383" s="18"/>
      <c r="W383" s="18"/>
      <c r="X383" s="18"/>
      <c r="Y383" s="18"/>
      <c r="Z383" s="20"/>
      <c r="AA383" s="19"/>
      <c r="AB383" s="18"/>
      <c r="AC383" s="18"/>
      <c r="AD383" s="18"/>
      <c r="AE383" s="18"/>
      <c r="AF383" s="18"/>
      <c r="AG383" s="18"/>
      <c r="AH383" s="20"/>
      <c r="AI383" s="18"/>
    </row>
    <row r="384" spans="2:35" ht="15.75" hidden="1" outlineLevel="1" x14ac:dyDescent="0.25">
      <c r="C384" s="151" t="s">
        <v>201</v>
      </c>
      <c r="D384" s="143">
        <v>6000</v>
      </c>
      <c r="E384" s="152">
        <v>46388</v>
      </c>
      <c r="F384" s="153">
        <v>5</v>
      </c>
      <c r="G384" s="154">
        <v>2000</v>
      </c>
      <c r="H384" s="471"/>
      <c r="I384" s="471"/>
      <c r="J384" s="472"/>
      <c r="M384" s="18"/>
      <c r="N384" s="18"/>
      <c r="O384" s="18"/>
      <c r="P384" s="18"/>
      <c r="Q384" s="18"/>
      <c r="R384" s="12"/>
      <c r="Z384" s="13"/>
      <c r="AA384" s="12"/>
      <c r="AH384" s="13"/>
    </row>
    <row r="385" spans="3:35" ht="15.75" hidden="1" outlineLevel="1" x14ac:dyDescent="0.25">
      <c r="C385" s="155" t="s">
        <v>202</v>
      </c>
      <c r="D385" s="143">
        <v>20000</v>
      </c>
      <c r="E385" s="152">
        <v>46388</v>
      </c>
      <c r="F385" s="153">
        <v>5</v>
      </c>
      <c r="G385" s="154">
        <v>5000</v>
      </c>
      <c r="H385" s="471"/>
      <c r="I385" s="471"/>
      <c r="J385" s="472"/>
      <c r="M385" s="18"/>
      <c r="N385" s="18"/>
      <c r="O385" s="18"/>
      <c r="P385" s="18"/>
      <c r="Q385" s="18"/>
      <c r="R385" s="12"/>
      <c r="Z385" s="13"/>
      <c r="AA385" s="12"/>
      <c r="AH385" s="13"/>
    </row>
    <row r="386" spans="3:35" ht="15.75" hidden="1" outlineLevel="1" x14ac:dyDescent="0.25">
      <c r="C386" s="155" t="s">
        <v>203</v>
      </c>
      <c r="D386" s="143">
        <v>3000</v>
      </c>
      <c r="E386" s="152">
        <v>46388</v>
      </c>
      <c r="F386" s="153">
        <v>5</v>
      </c>
      <c r="G386" s="154"/>
      <c r="H386" s="471"/>
      <c r="I386" s="471"/>
      <c r="J386" s="472"/>
      <c r="M386" s="18"/>
      <c r="N386" s="18"/>
      <c r="O386" s="18"/>
      <c r="P386" s="18"/>
      <c r="Q386" s="18"/>
      <c r="R386" s="12"/>
      <c r="Z386" s="13"/>
      <c r="AA386" s="12"/>
      <c r="AH386" s="13"/>
    </row>
    <row r="387" spans="3:35" ht="15.75" hidden="1" outlineLevel="1" x14ac:dyDescent="0.25">
      <c r="C387" s="155"/>
      <c r="D387" s="143"/>
      <c r="E387" s="152"/>
      <c r="F387" s="153"/>
      <c r="G387" s="154"/>
      <c r="H387" s="471"/>
      <c r="I387" s="471"/>
      <c r="J387" s="472"/>
      <c r="M387" s="18"/>
      <c r="N387" s="18"/>
      <c r="O387" s="18"/>
      <c r="P387" s="18"/>
      <c r="Q387" s="18"/>
      <c r="R387" s="12"/>
      <c r="Z387" s="13"/>
      <c r="AA387" s="12"/>
      <c r="AH387" s="13"/>
    </row>
    <row r="388" spans="3:35" ht="15.75" hidden="1" outlineLevel="1" x14ac:dyDescent="0.25">
      <c r="C388" s="155"/>
      <c r="D388" s="143"/>
      <c r="E388" s="152"/>
      <c r="F388" s="153"/>
      <c r="G388" s="154"/>
      <c r="H388" s="471"/>
      <c r="I388" s="471"/>
      <c r="J388" s="472"/>
      <c r="M388" s="18"/>
      <c r="N388" s="18"/>
      <c r="O388" s="18"/>
      <c r="P388" s="18"/>
      <c r="Q388" s="18"/>
      <c r="R388" s="12"/>
      <c r="Z388" s="13"/>
      <c r="AA388" s="12"/>
      <c r="AH388" s="13"/>
    </row>
    <row r="389" spans="3:35" ht="15.75" hidden="1" outlineLevel="1" x14ac:dyDescent="0.25">
      <c r="C389" s="155"/>
      <c r="D389" s="156"/>
      <c r="E389" s="152"/>
      <c r="F389" s="153"/>
      <c r="G389" s="154"/>
      <c r="H389" s="471"/>
      <c r="I389" s="471"/>
      <c r="J389" s="472"/>
      <c r="M389" s="18"/>
      <c r="N389" s="18"/>
      <c r="O389" s="18"/>
      <c r="P389" s="18"/>
      <c r="Q389" s="18"/>
      <c r="R389" s="12"/>
      <c r="Z389" s="13"/>
      <c r="AA389" s="12"/>
      <c r="AH389" s="13"/>
    </row>
    <row r="390" spans="3:35" ht="15.75" hidden="1" outlineLevel="1" x14ac:dyDescent="0.25">
      <c r="C390" s="155"/>
      <c r="D390" s="143"/>
      <c r="E390" s="152"/>
      <c r="F390" s="153"/>
      <c r="G390" s="154"/>
      <c r="H390" s="471"/>
      <c r="I390" s="471"/>
      <c r="J390" s="472"/>
      <c r="M390" s="18"/>
      <c r="N390" s="18"/>
      <c r="O390" s="18"/>
      <c r="P390" s="18"/>
      <c r="Q390" s="18"/>
      <c r="R390" s="12"/>
      <c r="Z390" s="13"/>
      <c r="AA390" s="12"/>
      <c r="AH390" s="13"/>
    </row>
    <row r="391" spans="3:35" ht="15.75" hidden="1" outlineLevel="1" x14ac:dyDescent="0.25">
      <c r="C391" s="155"/>
      <c r="D391" s="156"/>
      <c r="E391" s="152"/>
      <c r="F391" s="153"/>
      <c r="G391" s="154"/>
      <c r="H391" s="471"/>
      <c r="I391" s="471"/>
      <c r="J391" s="472"/>
      <c r="M391" s="18"/>
      <c r="N391" s="18"/>
      <c r="O391" s="18"/>
      <c r="P391" s="18"/>
      <c r="Q391" s="18"/>
      <c r="R391" s="12"/>
      <c r="Z391" s="13"/>
      <c r="AA391" s="12"/>
      <c r="AH391" s="13"/>
    </row>
    <row r="392" spans="3:35" ht="15.75" hidden="1" outlineLevel="1" x14ac:dyDescent="0.25">
      <c r="C392" s="155"/>
      <c r="D392" s="156"/>
      <c r="E392" s="152"/>
      <c r="F392" s="153"/>
      <c r="G392" s="154"/>
      <c r="H392" s="471"/>
      <c r="I392" s="471"/>
      <c r="J392" s="472"/>
      <c r="M392" s="18"/>
      <c r="N392" s="18"/>
      <c r="O392" s="18"/>
      <c r="P392" s="18"/>
      <c r="Q392" s="18"/>
      <c r="R392" s="12"/>
      <c r="Z392" s="13"/>
      <c r="AA392" s="12"/>
      <c r="AH392" s="13"/>
    </row>
    <row r="393" spans="3:35" hidden="1" outlineLevel="1" x14ac:dyDescent="0.25">
      <c r="C393" s="155"/>
      <c r="D393" s="156"/>
      <c r="E393" s="152"/>
      <c r="F393" s="153"/>
      <c r="G393" s="154"/>
      <c r="H393" s="471"/>
      <c r="I393" s="471"/>
      <c r="J393" s="472"/>
      <c r="P393" s="16"/>
      <c r="R393" s="12"/>
      <c r="Z393" s="13"/>
      <c r="AA393" s="12"/>
      <c r="AH393" s="13"/>
    </row>
    <row r="394" spans="3:35" ht="15.75" hidden="1" outlineLevel="1" thickBot="1" x14ac:dyDescent="0.3">
      <c r="C394" s="157"/>
      <c r="D394" s="158"/>
      <c r="E394" s="159"/>
      <c r="F394" s="160"/>
      <c r="G394" s="161"/>
      <c r="H394" s="510"/>
      <c r="I394" s="510"/>
      <c r="J394" s="511"/>
      <c r="P394" s="16"/>
      <c r="R394" s="35"/>
      <c r="S394" s="36"/>
      <c r="T394" s="36"/>
      <c r="U394" s="36"/>
      <c r="V394" s="36"/>
      <c r="W394" s="36"/>
      <c r="X394" s="36"/>
      <c r="Y394" s="36"/>
      <c r="Z394" s="37"/>
      <c r="AA394" s="35"/>
      <c r="AB394" s="36"/>
      <c r="AC394" s="36"/>
      <c r="AD394" s="36"/>
      <c r="AE394" s="36"/>
      <c r="AF394" s="36"/>
      <c r="AG394" s="36"/>
      <c r="AH394" s="37"/>
    </row>
    <row r="395" spans="3:35" ht="15.75" hidden="1" outlineLevel="1" thickTop="1" x14ac:dyDescent="0.25">
      <c r="C395" s="123"/>
      <c r="D395" s="15"/>
      <c r="E395" s="123"/>
      <c r="F395" s="123"/>
      <c r="G395" s="123"/>
      <c r="H395" s="15"/>
      <c r="I395" s="15"/>
      <c r="J395" s="16"/>
      <c r="K395" s="16"/>
      <c r="L395" s="16"/>
      <c r="M395" s="16"/>
      <c r="N395" s="16"/>
      <c r="O395" s="16"/>
      <c r="P395" s="16"/>
      <c r="R395" s="41"/>
      <c r="S395" s="42"/>
      <c r="T395" s="42"/>
      <c r="U395" s="42"/>
      <c r="V395" s="42"/>
      <c r="W395" s="42"/>
      <c r="X395" s="42"/>
      <c r="Y395" s="42"/>
      <c r="Z395" s="43"/>
      <c r="AA395" s="41"/>
      <c r="AB395" s="42"/>
      <c r="AC395" s="42"/>
      <c r="AD395" s="42"/>
      <c r="AE395" s="42"/>
      <c r="AF395" s="42"/>
      <c r="AG395" s="42"/>
      <c r="AH395" s="43"/>
    </row>
    <row r="396" spans="3:35" ht="18" hidden="1" outlineLevel="1" thickBot="1" x14ac:dyDescent="0.35">
      <c r="R396" s="12"/>
      <c r="Z396" s="13"/>
      <c r="AA396" s="12"/>
      <c r="AB396" s="17"/>
      <c r="AH396" s="13"/>
    </row>
    <row r="397" spans="3:35" ht="21" hidden="1" outlineLevel="1" thickTop="1" thickBot="1" x14ac:dyDescent="0.35">
      <c r="C397" s="54" t="s">
        <v>204</v>
      </c>
      <c r="R397" s="12"/>
      <c r="S397" s="162" t="str">
        <f>C397</f>
        <v>Capital Expenditure - Impact on Income Statement (Depreciation &amp; Amortization)</v>
      </c>
      <c r="Z397" s="13"/>
      <c r="AA397" s="12"/>
      <c r="AH397" s="13"/>
    </row>
    <row r="398" spans="3:35" ht="18" hidden="1" outlineLevel="1" thickTop="1" x14ac:dyDescent="0.3">
      <c r="C398" s="56"/>
      <c r="D398" s="500" t="s">
        <v>205</v>
      </c>
      <c r="E398" s="500"/>
      <c r="F398" s="500"/>
      <c r="G398" s="500"/>
      <c r="H398" s="500"/>
      <c r="I398" s="500"/>
      <c r="J398" s="500"/>
      <c r="K398" s="500"/>
      <c r="L398" s="61"/>
      <c r="M398" s="499" t="s">
        <v>206</v>
      </c>
      <c r="N398" s="499"/>
      <c r="O398" s="499"/>
      <c r="P398" s="499"/>
      <c r="R398" s="12"/>
      <c r="S398" s="80" t="s">
        <v>48</v>
      </c>
      <c r="Z398" s="13"/>
      <c r="AA398" s="12"/>
      <c r="AH398" s="13"/>
    </row>
    <row r="399" spans="3:35" hidden="1" outlineLevel="1" x14ac:dyDescent="0.25">
      <c r="C399" s="56"/>
      <c r="D399" s="500" t="s">
        <v>42</v>
      </c>
      <c r="E399" s="500"/>
      <c r="F399" s="500"/>
      <c r="G399" s="500"/>
      <c r="H399" s="500" t="s">
        <v>43</v>
      </c>
      <c r="I399" s="500"/>
      <c r="J399" s="500"/>
      <c r="K399" s="500"/>
      <c r="L399" s="61"/>
      <c r="M399" s="62" t="s">
        <v>44</v>
      </c>
      <c r="N399" s="62" t="s">
        <v>45</v>
      </c>
      <c r="O399" s="62" t="s">
        <v>46</v>
      </c>
      <c r="P399" s="62" t="s">
        <v>47</v>
      </c>
      <c r="Q399" s="105"/>
      <c r="R399" s="12"/>
      <c r="S399" s="81"/>
      <c r="T399" s="499" t="s">
        <v>52</v>
      </c>
      <c r="U399" s="499"/>
      <c r="V399" s="499"/>
      <c r="W399" s="499"/>
      <c r="X399" s="499"/>
      <c r="Y399" s="499"/>
      <c r="Z399" s="13"/>
      <c r="AA399" s="12"/>
      <c r="AH399" s="13"/>
      <c r="AI399" s="105"/>
    </row>
    <row r="400" spans="3:35" hidden="1" outlineLevel="1" x14ac:dyDescent="0.25">
      <c r="C400" s="76"/>
      <c r="D400" s="77">
        <f>StartDate</f>
        <v>46023</v>
      </c>
      <c r="E400" s="77">
        <f>EDATE(D400,3)</f>
        <v>46113</v>
      </c>
      <c r="F400" s="77">
        <f t="shared" ref="F400:K400" si="149">EDATE(E400,3)</f>
        <v>46204</v>
      </c>
      <c r="G400" s="77">
        <f t="shared" si="149"/>
        <v>46296</v>
      </c>
      <c r="H400" s="77">
        <f t="shared" si="149"/>
        <v>46388</v>
      </c>
      <c r="I400" s="77">
        <f t="shared" si="149"/>
        <v>46478</v>
      </c>
      <c r="J400" s="77">
        <f t="shared" si="149"/>
        <v>46569</v>
      </c>
      <c r="K400" s="77">
        <f t="shared" si="149"/>
        <v>46661</v>
      </c>
      <c r="L400" s="61"/>
      <c r="M400" s="77">
        <f>EDATE(K400,3)</f>
        <v>46753</v>
      </c>
      <c r="N400" s="77">
        <f t="shared" ref="N400:P400" si="150">EDATE(M400,12)</f>
        <v>47119</v>
      </c>
      <c r="O400" s="77">
        <f t="shared" si="150"/>
        <v>47484</v>
      </c>
      <c r="P400" s="77">
        <f t="shared" si="150"/>
        <v>47849</v>
      </c>
      <c r="R400" s="12"/>
      <c r="S400" s="81"/>
      <c r="T400" s="62" t="s">
        <v>42</v>
      </c>
      <c r="U400" s="62" t="s">
        <v>43</v>
      </c>
      <c r="V400" s="62" t="s">
        <v>44</v>
      </c>
      <c r="W400" s="62" t="s">
        <v>45</v>
      </c>
      <c r="X400" s="62" t="s">
        <v>46</v>
      </c>
      <c r="Y400" s="62" t="s">
        <v>47</v>
      </c>
      <c r="Z400" s="13"/>
      <c r="AA400" s="12"/>
      <c r="AH400" s="13"/>
    </row>
    <row r="401" spans="3:35" hidden="1" outlineLevel="1" x14ac:dyDescent="0.25">
      <c r="C401" s="59" t="str">
        <f t="shared" ref="C401:C411" si="151">C419</f>
        <v>Office Laptops</v>
      </c>
      <c r="D401" s="109">
        <f>IF(D437&gt;0,$D384/$F384/4,0)</f>
        <v>0</v>
      </c>
      <c r="E401" s="109">
        <f t="shared" ref="E401:K402" si="152">IF(E437&gt;0,$D384/$F384/4,0)</f>
        <v>0</v>
      </c>
      <c r="F401" s="109">
        <f t="shared" si="152"/>
        <v>0</v>
      </c>
      <c r="G401" s="109">
        <f t="shared" si="152"/>
        <v>0</v>
      </c>
      <c r="H401" s="109">
        <f t="shared" si="152"/>
        <v>300</v>
      </c>
      <c r="I401" s="109">
        <f t="shared" si="152"/>
        <v>300</v>
      </c>
      <c r="J401" s="109">
        <f t="shared" si="152"/>
        <v>300</v>
      </c>
      <c r="K401" s="109">
        <f t="shared" si="152"/>
        <v>300</v>
      </c>
      <c r="L401" s="61"/>
      <c r="M401" s="109">
        <f>IF(M437&gt;0,$D384/$F384,0)</f>
        <v>1200</v>
      </c>
      <c r="N401" s="109">
        <f t="shared" ref="N401:P401" si="153">IF(N437&gt;0,$D384/$F384,0)</f>
        <v>1200</v>
      </c>
      <c r="O401" s="109">
        <f t="shared" si="153"/>
        <v>1200</v>
      </c>
      <c r="P401" s="109">
        <f t="shared" si="153"/>
        <v>1200</v>
      </c>
      <c r="R401" s="12"/>
      <c r="S401" s="81"/>
      <c r="T401" s="77">
        <f>D400</f>
        <v>46023</v>
      </c>
      <c r="U401" s="77">
        <f>H400</f>
        <v>46388</v>
      </c>
      <c r="V401" s="77">
        <f t="shared" ref="V401:Y411" si="154">M400</f>
        <v>46753</v>
      </c>
      <c r="W401" s="77">
        <f t="shared" si="154"/>
        <v>47119</v>
      </c>
      <c r="X401" s="77">
        <f t="shared" si="154"/>
        <v>47484</v>
      </c>
      <c r="Y401" s="77">
        <f t="shared" si="154"/>
        <v>47849</v>
      </c>
      <c r="Z401" s="13"/>
      <c r="AA401" s="12"/>
      <c r="AH401" s="13"/>
    </row>
    <row r="402" spans="3:35" hidden="1" outlineLevel="1" x14ac:dyDescent="0.25">
      <c r="C402" s="59" t="str">
        <f t="shared" si="151"/>
        <v>Company Vehicle</v>
      </c>
      <c r="D402" s="109">
        <f>IF(D438&gt;0,$D385/$F385/4,0)</f>
        <v>0</v>
      </c>
      <c r="E402" s="109">
        <f t="shared" si="152"/>
        <v>0</v>
      </c>
      <c r="F402" s="109">
        <f t="shared" si="152"/>
        <v>0</v>
      </c>
      <c r="G402" s="109">
        <f t="shared" si="152"/>
        <v>0</v>
      </c>
      <c r="H402" s="109">
        <f t="shared" si="152"/>
        <v>1000</v>
      </c>
      <c r="I402" s="109">
        <f t="shared" si="152"/>
        <v>1000</v>
      </c>
      <c r="J402" s="109">
        <f t="shared" si="152"/>
        <v>1000</v>
      </c>
      <c r="K402" s="109">
        <f t="shared" si="152"/>
        <v>1000</v>
      </c>
      <c r="L402" s="61"/>
      <c r="M402" s="109">
        <f t="shared" ref="M402:P411" si="155">IF(M438&gt;0,$D385/$F385,0)</f>
        <v>4000</v>
      </c>
      <c r="N402" s="109">
        <f t="shared" si="155"/>
        <v>4000</v>
      </c>
      <c r="O402" s="109">
        <f t="shared" si="155"/>
        <v>4000</v>
      </c>
      <c r="P402" s="109">
        <f t="shared" si="155"/>
        <v>4000</v>
      </c>
      <c r="R402" s="12"/>
      <c r="S402" s="59" t="str">
        <f t="shared" ref="S402:S411" si="156">C401</f>
        <v>Office Laptops</v>
      </c>
      <c r="T402" s="60">
        <f t="shared" ref="T402:T411" si="157">SUM(D401:G401)</f>
        <v>0</v>
      </c>
      <c r="U402" s="60">
        <f t="shared" ref="U402:U411" si="158">SUM(H401:K401)</f>
        <v>1200</v>
      </c>
      <c r="V402" s="60">
        <f t="shared" si="154"/>
        <v>1200</v>
      </c>
      <c r="W402" s="60">
        <f t="shared" si="154"/>
        <v>1200</v>
      </c>
      <c r="X402" s="60">
        <f t="shared" si="154"/>
        <v>1200</v>
      </c>
      <c r="Y402" s="60">
        <f t="shared" si="154"/>
        <v>1200</v>
      </c>
      <c r="Z402" s="13"/>
      <c r="AA402" s="12"/>
      <c r="AH402" s="13"/>
    </row>
    <row r="403" spans="3:35" hidden="1" outlineLevel="1" x14ac:dyDescent="0.25">
      <c r="C403" s="59" t="str">
        <f t="shared" si="151"/>
        <v>Office Furniture</v>
      </c>
      <c r="D403" s="109">
        <f t="shared" ref="D403:K411" si="159">IF(D439&gt;0,$D386/$F386/4,0)</f>
        <v>0</v>
      </c>
      <c r="E403" s="109">
        <f t="shared" si="159"/>
        <v>0</v>
      </c>
      <c r="F403" s="109">
        <f t="shared" si="159"/>
        <v>0</v>
      </c>
      <c r="G403" s="109">
        <f t="shared" si="159"/>
        <v>0</v>
      </c>
      <c r="H403" s="109">
        <f t="shared" si="159"/>
        <v>150</v>
      </c>
      <c r="I403" s="109">
        <f t="shared" si="159"/>
        <v>150</v>
      </c>
      <c r="J403" s="109">
        <f t="shared" si="159"/>
        <v>150</v>
      </c>
      <c r="K403" s="109">
        <f t="shared" si="159"/>
        <v>150</v>
      </c>
      <c r="L403" s="61"/>
      <c r="M403" s="109">
        <f t="shared" si="155"/>
        <v>600</v>
      </c>
      <c r="N403" s="109">
        <f t="shared" si="155"/>
        <v>600</v>
      </c>
      <c r="O403" s="109">
        <f t="shared" si="155"/>
        <v>600</v>
      </c>
      <c r="P403" s="109">
        <f t="shared" si="155"/>
        <v>600</v>
      </c>
      <c r="R403" s="12"/>
      <c r="S403" s="59" t="str">
        <f t="shared" si="156"/>
        <v>Company Vehicle</v>
      </c>
      <c r="T403" s="60">
        <f t="shared" si="157"/>
        <v>0</v>
      </c>
      <c r="U403" s="60">
        <f t="shared" si="158"/>
        <v>4000</v>
      </c>
      <c r="V403" s="60">
        <f t="shared" si="154"/>
        <v>4000</v>
      </c>
      <c r="W403" s="60">
        <f t="shared" si="154"/>
        <v>4000</v>
      </c>
      <c r="X403" s="60">
        <f t="shared" si="154"/>
        <v>4000</v>
      </c>
      <c r="Y403" s="60">
        <f t="shared" si="154"/>
        <v>4000</v>
      </c>
      <c r="Z403" s="13"/>
      <c r="AA403" s="12"/>
      <c r="AH403" s="13"/>
    </row>
    <row r="404" spans="3:35" hidden="1" outlineLevel="1" x14ac:dyDescent="0.25">
      <c r="C404" s="59" t="str">
        <f t="shared" si="151"/>
        <v>-</v>
      </c>
      <c r="D404" s="109">
        <f t="shared" si="159"/>
        <v>0</v>
      </c>
      <c r="E404" s="109">
        <f t="shared" si="159"/>
        <v>0</v>
      </c>
      <c r="F404" s="109">
        <f t="shared" si="159"/>
        <v>0</v>
      </c>
      <c r="G404" s="109">
        <f t="shared" si="159"/>
        <v>0</v>
      </c>
      <c r="H404" s="109">
        <f t="shared" si="159"/>
        <v>0</v>
      </c>
      <c r="I404" s="109">
        <f t="shared" si="159"/>
        <v>0</v>
      </c>
      <c r="J404" s="109">
        <f t="shared" si="159"/>
        <v>0</v>
      </c>
      <c r="K404" s="109">
        <f t="shared" si="159"/>
        <v>0</v>
      </c>
      <c r="L404" s="61"/>
      <c r="M404" s="109">
        <f t="shared" si="155"/>
        <v>0</v>
      </c>
      <c r="N404" s="109">
        <f t="shared" si="155"/>
        <v>0</v>
      </c>
      <c r="O404" s="109">
        <f t="shared" si="155"/>
        <v>0</v>
      </c>
      <c r="P404" s="109">
        <f t="shared" si="155"/>
        <v>0</v>
      </c>
      <c r="R404" s="12"/>
      <c r="S404" s="59" t="str">
        <f t="shared" si="156"/>
        <v>Office Furniture</v>
      </c>
      <c r="T404" s="60">
        <f t="shared" si="157"/>
        <v>0</v>
      </c>
      <c r="U404" s="60">
        <f t="shared" si="158"/>
        <v>600</v>
      </c>
      <c r="V404" s="60">
        <f t="shared" si="154"/>
        <v>600</v>
      </c>
      <c r="W404" s="60">
        <f t="shared" si="154"/>
        <v>600</v>
      </c>
      <c r="X404" s="60">
        <f t="shared" si="154"/>
        <v>600</v>
      </c>
      <c r="Y404" s="60">
        <f t="shared" si="154"/>
        <v>600</v>
      </c>
      <c r="Z404" s="13"/>
      <c r="AA404" s="12"/>
      <c r="AH404" s="13"/>
    </row>
    <row r="405" spans="3:35" hidden="1" outlineLevel="1" x14ac:dyDescent="0.25">
      <c r="C405" s="59" t="str">
        <f t="shared" si="151"/>
        <v>-</v>
      </c>
      <c r="D405" s="109">
        <f t="shared" si="159"/>
        <v>0</v>
      </c>
      <c r="E405" s="109">
        <f t="shared" si="159"/>
        <v>0</v>
      </c>
      <c r="F405" s="109">
        <f t="shared" si="159"/>
        <v>0</v>
      </c>
      <c r="G405" s="109">
        <f t="shared" si="159"/>
        <v>0</v>
      </c>
      <c r="H405" s="109">
        <f t="shared" si="159"/>
        <v>0</v>
      </c>
      <c r="I405" s="109">
        <f t="shared" si="159"/>
        <v>0</v>
      </c>
      <c r="J405" s="109">
        <f t="shared" si="159"/>
        <v>0</v>
      </c>
      <c r="K405" s="109">
        <f t="shared" si="159"/>
        <v>0</v>
      </c>
      <c r="L405" s="61"/>
      <c r="M405" s="109">
        <f t="shared" si="155"/>
        <v>0</v>
      </c>
      <c r="N405" s="109">
        <f t="shared" si="155"/>
        <v>0</v>
      </c>
      <c r="O405" s="109">
        <f t="shared" si="155"/>
        <v>0</v>
      </c>
      <c r="P405" s="109">
        <f t="shared" si="155"/>
        <v>0</v>
      </c>
      <c r="R405" s="12"/>
      <c r="S405" s="59" t="str">
        <f t="shared" si="156"/>
        <v>-</v>
      </c>
      <c r="T405" s="60">
        <f t="shared" si="157"/>
        <v>0</v>
      </c>
      <c r="U405" s="60">
        <f t="shared" si="158"/>
        <v>0</v>
      </c>
      <c r="V405" s="60">
        <f t="shared" si="154"/>
        <v>0</v>
      </c>
      <c r="W405" s="60">
        <f t="shared" si="154"/>
        <v>0</v>
      </c>
      <c r="X405" s="60">
        <f t="shared" si="154"/>
        <v>0</v>
      </c>
      <c r="Y405" s="60">
        <f t="shared" si="154"/>
        <v>0</v>
      </c>
      <c r="Z405" s="13"/>
      <c r="AA405" s="12"/>
      <c r="AH405" s="13"/>
    </row>
    <row r="406" spans="3:35" hidden="1" outlineLevel="1" x14ac:dyDescent="0.25">
      <c r="C406" s="59" t="str">
        <f t="shared" si="151"/>
        <v>-</v>
      </c>
      <c r="D406" s="109">
        <f t="shared" si="159"/>
        <v>0</v>
      </c>
      <c r="E406" s="109">
        <f t="shared" si="159"/>
        <v>0</v>
      </c>
      <c r="F406" s="109">
        <f t="shared" si="159"/>
        <v>0</v>
      </c>
      <c r="G406" s="109">
        <f t="shared" si="159"/>
        <v>0</v>
      </c>
      <c r="H406" s="109">
        <f t="shared" si="159"/>
        <v>0</v>
      </c>
      <c r="I406" s="109">
        <f t="shared" si="159"/>
        <v>0</v>
      </c>
      <c r="J406" s="109">
        <f t="shared" si="159"/>
        <v>0</v>
      </c>
      <c r="K406" s="109">
        <f t="shared" si="159"/>
        <v>0</v>
      </c>
      <c r="L406" s="61"/>
      <c r="M406" s="109">
        <f t="shared" si="155"/>
        <v>0</v>
      </c>
      <c r="N406" s="109">
        <f t="shared" si="155"/>
        <v>0</v>
      </c>
      <c r="O406" s="109">
        <f t="shared" si="155"/>
        <v>0</v>
      </c>
      <c r="P406" s="109">
        <f t="shared" si="155"/>
        <v>0</v>
      </c>
      <c r="R406" s="12"/>
      <c r="S406" s="59" t="str">
        <f t="shared" si="156"/>
        <v>-</v>
      </c>
      <c r="T406" s="60">
        <f t="shared" si="157"/>
        <v>0</v>
      </c>
      <c r="U406" s="60">
        <f t="shared" si="158"/>
        <v>0</v>
      </c>
      <c r="V406" s="60">
        <f t="shared" si="154"/>
        <v>0</v>
      </c>
      <c r="W406" s="60">
        <f t="shared" si="154"/>
        <v>0</v>
      </c>
      <c r="X406" s="60">
        <f t="shared" si="154"/>
        <v>0</v>
      </c>
      <c r="Y406" s="60">
        <f t="shared" si="154"/>
        <v>0</v>
      </c>
      <c r="Z406" s="13"/>
      <c r="AA406" s="12"/>
      <c r="AH406" s="13"/>
    </row>
    <row r="407" spans="3:35" hidden="1" outlineLevel="1" x14ac:dyDescent="0.25">
      <c r="C407" s="59" t="str">
        <f t="shared" si="151"/>
        <v>-</v>
      </c>
      <c r="D407" s="109">
        <f t="shared" si="159"/>
        <v>0</v>
      </c>
      <c r="E407" s="109">
        <f t="shared" si="159"/>
        <v>0</v>
      </c>
      <c r="F407" s="109">
        <f t="shared" si="159"/>
        <v>0</v>
      </c>
      <c r="G407" s="109">
        <f t="shared" si="159"/>
        <v>0</v>
      </c>
      <c r="H407" s="109">
        <f t="shared" si="159"/>
        <v>0</v>
      </c>
      <c r="I407" s="109">
        <f t="shared" si="159"/>
        <v>0</v>
      </c>
      <c r="J407" s="109">
        <f t="shared" si="159"/>
        <v>0</v>
      </c>
      <c r="K407" s="109">
        <f t="shared" si="159"/>
        <v>0</v>
      </c>
      <c r="L407" s="61"/>
      <c r="M407" s="109">
        <f t="shared" si="155"/>
        <v>0</v>
      </c>
      <c r="N407" s="109">
        <f t="shared" si="155"/>
        <v>0</v>
      </c>
      <c r="O407" s="109">
        <f t="shared" si="155"/>
        <v>0</v>
      </c>
      <c r="P407" s="109">
        <f t="shared" si="155"/>
        <v>0</v>
      </c>
      <c r="R407" s="12"/>
      <c r="S407" s="59" t="str">
        <f t="shared" si="156"/>
        <v>-</v>
      </c>
      <c r="T407" s="60">
        <f t="shared" si="157"/>
        <v>0</v>
      </c>
      <c r="U407" s="60">
        <f t="shared" si="158"/>
        <v>0</v>
      </c>
      <c r="V407" s="60">
        <f t="shared" si="154"/>
        <v>0</v>
      </c>
      <c r="W407" s="60">
        <f t="shared" si="154"/>
        <v>0</v>
      </c>
      <c r="X407" s="60">
        <f t="shared" si="154"/>
        <v>0</v>
      </c>
      <c r="Y407" s="60">
        <f t="shared" si="154"/>
        <v>0</v>
      </c>
      <c r="Z407" s="13"/>
      <c r="AA407" s="12"/>
      <c r="AH407" s="13"/>
    </row>
    <row r="408" spans="3:35" hidden="1" outlineLevel="1" x14ac:dyDescent="0.25">
      <c r="C408" s="59" t="str">
        <f t="shared" si="151"/>
        <v>-</v>
      </c>
      <c r="D408" s="109">
        <f t="shared" si="159"/>
        <v>0</v>
      </c>
      <c r="E408" s="109">
        <f t="shared" si="159"/>
        <v>0</v>
      </c>
      <c r="F408" s="109">
        <f t="shared" si="159"/>
        <v>0</v>
      </c>
      <c r="G408" s="109">
        <f t="shared" si="159"/>
        <v>0</v>
      </c>
      <c r="H408" s="109">
        <f t="shared" si="159"/>
        <v>0</v>
      </c>
      <c r="I408" s="109">
        <f t="shared" si="159"/>
        <v>0</v>
      </c>
      <c r="J408" s="109">
        <f t="shared" si="159"/>
        <v>0</v>
      </c>
      <c r="K408" s="109">
        <f t="shared" si="159"/>
        <v>0</v>
      </c>
      <c r="L408" s="61"/>
      <c r="M408" s="109">
        <f t="shared" si="155"/>
        <v>0</v>
      </c>
      <c r="N408" s="109">
        <f t="shared" si="155"/>
        <v>0</v>
      </c>
      <c r="O408" s="109">
        <f t="shared" si="155"/>
        <v>0</v>
      </c>
      <c r="P408" s="109">
        <f t="shared" si="155"/>
        <v>0</v>
      </c>
      <c r="R408" s="12"/>
      <c r="S408" s="81" t="str">
        <f t="shared" si="156"/>
        <v>-</v>
      </c>
      <c r="T408" s="60">
        <f t="shared" si="157"/>
        <v>0</v>
      </c>
      <c r="U408" s="60">
        <f t="shared" si="158"/>
        <v>0</v>
      </c>
      <c r="V408" s="60">
        <f t="shared" si="154"/>
        <v>0</v>
      </c>
      <c r="W408" s="60">
        <f t="shared" si="154"/>
        <v>0</v>
      </c>
      <c r="X408" s="60">
        <f t="shared" si="154"/>
        <v>0</v>
      </c>
      <c r="Y408" s="60">
        <f t="shared" si="154"/>
        <v>0</v>
      </c>
      <c r="Z408" s="13"/>
      <c r="AA408" s="12"/>
      <c r="AH408" s="13"/>
    </row>
    <row r="409" spans="3:35" hidden="1" outlineLevel="1" x14ac:dyDescent="0.25">
      <c r="C409" s="59" t="str">
        <f t="shared" si="151"/>
        <v>-</v>
      </c>
      <c r="D409" s="109">
        <f t="shared" si="159"/>
        <v>0</v>
      </c>
      <c r="E409" s="109">
        <f t="shared" si="159"/>
        <v>0</v>
      </c>
      <c r="F409" s="109">
        <f t="shared" si="159"/>
        <v>0</v>
      </c>
      <c r="G409" s="109">
        <f t="shared" si="159"/>
        <v>0</v>
      </c>
      <c r="H409" s="109">
        <f t="shared" si="159"/>
        <v>0</v>
      </c>
      <c r="I409" s="109">
        <f t="shared" si="159"/>
        <v>0</v>
      </c>
      <c r="J409" s="109">
        <f t="shared" si="159"/>
        <v>0</v>
      </c>
      <c r="K409" s="109">
        <f t="shared" si="159"/>
        <v>0</v>
      </c>
      <c r="L409" s="61"/>
      <c r="M409" s="109">
        <f t="shared" si="155"/>
        <v>0</v>
      </c>
      <c r="N409" s="109">
        <f t="shared" si="155"/>
        <v>0</v>
      </c>
      <c r="O409" s="109">
        <f t="shared" si="155"/>
        <v>0</v>
      </c>
      <c r="P409" s="109">
        <f t="shared" si="155"/>
        <v>0</v>
      </c>
      <c r="R409" s="12"/>
      <c r="S409" s="81" t="str">
        <f t="shared" si="156"/>
        <v>-</v>
      </c>
      <c r="T409" s="60">
        <f t="shared" si="157"/>
        <v>0</v>
      </c>
      <c r="U409" s="60">
        <f t="shared" si="158"/>
        <v>0</v>
      </c>
      <c r="V409" s="60">
        <f t="shared" si="154"/>
        <v>0</v>
      </c>
      <c r="W409" s="60">
        <f t="shared" si="154"/>
        <v>0</v>
      </c>
      <c r="X409" s="60">
        <f t="shared" si="154"/>
        <v>0</v>
      </c>
      <c r="Y409" s="60">
        <f t="shared" si="154"/>
        <v>0</v>
      </c>
      <c r="Z409" s="13"/>
      <c r="AA409" s="12"/>
      <c r="AH409" s="13"/>
    </row>
    <row r="410" spans="3:35" hidden="1" outlineLevel="1" x14ac:dyDescent="0.25">
      <c r="C410" s="59" t="str">
        <f t="shared" si="151"/>
        <v>Empty</v>
      </c>
      <c r="D410" s="109">
        <f t="shared" si="159"/>
        <v>0</v>
      </c>
      <c r="E410" s="109">
        <f t="shared" si="159"/>
        <v>0</v>
      </c>
      <c r="F410" s="109">
        <f t="shared" si="159"/>
        <v>0</v>
      </c>
      <c r="G410" s="109">
        <f t="shared" si="159"/>
        <v>0</v>
      </c>
      <c r="H410" s="109">
        <f t="shared" si="159"/>
        <v>0</v>
      </c>
      <c r="I410" s="109">
        <f t="shared" si="159"/>
        <v>0</v>
      </c>
      <c r="J410" s="109">
        <f t="shared" si="159"/>
        <v>0</v>
      </c>
      <c r="K410" s="109">
        <f t="shared" si="159"/>
        <v>0</v>
      </c>
      <c r="L410" s="61"/>
      <c r="M410" s="109">
        <f t="shared" si="155"/>
        <v>0</v>
      </c>
      <c r="N410" s="109">
        <f t="shared" si="155"/>
        <v>0</v>
      </c>
      <c r="O410" s="109">
        <f t="shared" si="155"/>
        <v>0</v>
      </c>
      <c r="P410" s="109">
        <f t="shared" si="155"/>
        <v>0</v>
      </c>
      <c r="R410" s="12"/>
      <c r="S410" s="81" t="str">
        <f t="shared" si="156"/>
        <v>-</v>
      </c>
      <c r="T410" s="60">
        <f t="shared" si="157"/>
        <v>0</v>
      </c>
      <c r="U410" s="60">
        <f t="shared" si="158"/>
        <v>0</v>
      </c>
      <c r="V410" s="60">
        <f t="shared" si="154"/>
        <v>0</v>
      </c>
      <c r="W410" s="60">
        <f t="shared" si="154"/>
        <v>0</v>
      </c>
      <c r="X410" s="60">
        <f t="shared" si="154"/>
        <v>0</v>
      </c>
      <c r="Y410" s="60">
        <f t="shared" si="154"/>
        <v>0</v>
      </c>
      <c r="Z410" s="13"/>
      <c r="AA410" s="12"/>
      <c r="AH410" s="13"/>
    </row>
    <row r="411" spans="3:35" ht="15.75" hidden="1" outlineLevel="1" thickBot="1" x14ac:dyDescent="0.3">
      <c r="C411" s="111" t="str">
        <f t="shared" si="151"/>
        <v>Empty</v>
      </c>
      <c r="D411" s="112">
        <f t="shared" si="159"/>
        <v>0</v>
      </c>
      <c r="E411" s="112">
        <f t="shared" si="159"/>
        <v>0</v>
      </c>
      <c r="F411" s="112">
        <f t="shared" si="159"/>
        <v>0</v>
      </c>
      <c r="G411" s="112">
        <f t="shared" si="159"/>
        <v>0</v>
      </c>
      <c r="H411" s="112">
        <f t="shared" si="159"/>
        <v>0</v>
      </c>
      <c r="I411" s="112">
        <f t="shared" si="159"/>
        <v>0</v>
      </c>
      <c r="J411" s="112">
        <f t="shared" si="159"/>
        <v>0</v>
      </c>
      <c r="K411" s="112">
        <f t="shared" si="159"/>
        <v>0</v>
      </c>
      <c r="L411" s="61"/>
      <c r="M411" s="112">
        <f t="shared" si="155"/>
        <v>0</v>
      </c>
      <c r="N411" s="112">
        <f t="shared" si="155"/>
        <v>0</v>
      </c>
      <c r="O411" s="112">
        <f t="shared" si="155"/>
        <v>0</v>
      </c>
      <c r="P411" s="112">
        <f t="shared" si="155"/>
        <v>0</v>
      </c>
      <c r="Q411" s="106"/>
      <c r="R411" s="12"/>
      <c r="S411" s="111" t="str">
        <f t="shared" si="156"/>
        <v>Empty</v>
      </c>
      <c r="T411" s="97">
        <f t="shared" si="157"/>
        <v>0</v>
      </c>
      <c r="U411" s="97">
        <f t="shared" si="158"/>
        <v>0</v>
      </c>
      <c r="V411" s="97">
        <f t="shared" si="154"/>
        <v>0</v>
      </c>
      <c r="W411" s="97">
        <f t="shared" si="154"/>
        <v>0</v>
      </c>
      <c r="X411" s="97">
        <f t="shared" si="154"/>
        <v>0</v>
      </c>
      <c r="Y411" s="97">
        <f t="shared" si="154"/>
        <v>0</v>
      </c>
      <c r="Z411" s="13"/>
      <c r="AA411" s="12"/>
      <c r="AH411" s="13"/>
      <c r="AI411" s="106"/>
    </row>
    <row r="412" spans="3:35" ht="15.75" hidden="1" outlineLevel="1" thickBot="1" x14ac:dyDescent="0.3">
      <c r="C412" s="98" t="s">
        <v>58</v>
      </c>
      <c r="D412" s="114">
        <f>SUM(D401:D411)</f>
        <v>0</v>
      </c>
      <c r="E412" s="114">
        <f t="shared" ref="E412:P412" si="160">SUM(E401:E411)</f>
        <v>0</v>
      </c>
      <c r="F412" s="114">
        <f t="shared" si="160"/>
        <v>0</v>
      </c>
      <c r="G412" s="114">
        <f t="shared" si="160"/>
        <v>0</v>
      </c>
      <c r="H412" s="114">
        <f t="shared" si="160"/>
        <v>1450</v>
      </c>
      <c r="I412" s="114">
        <f t="shared" si="160"/>
        <v>1450</v>
      </c>
      <c r="J412" s="114">
        <f t="shared" si="160"/>
        <v>1450</v>
      </c>
      <c r="K412" s="115">
        <f t="shared" si="160"/>
        <v>1450</v>
      </c>
      <c r="L412" s="61"/>
      <c r="M412" s="116">
        <f t="shared" si="160"/>
        <v>5800</v>
      </c>
      <c r="N412" s="114">
        <f t="shared" si="160"/>
        <v>5800</v>
      </c>
      <c r="O412" s="114">
        <f t="shared" si="160"/>
        <v>5800</v>
      </c>
      <c r="P412" s="115">
        <f t="shared" si="160"/>
        <v>5800</v>
      </c>
      <c r="R412" s="12"/>
      <c r="S412" s="103" t="s">
        <v>75</v>
      </c>
      <c r="T412" s="99">
        <f>SUM(T402:T411)</f>
        <v>0</v>
      </c>
      <c r="U412" s="99">
        <f t="shared" ref="U412:Y412" si="161">SUM(U402:U411)</f>
        <v>5800</v>
      </c>
      <c r="V412" s="99">
        <f t="shared" si="161"/>
        <v>5800</v>
      </c>
      <c r="W412" s="99">
        <f t="shared" si="161"/>
        <v>5800</v>
      </c>
      <c r="X412" s="99">
        <f t="shared" si="161"/>
        <v>5800</v>
      </c>
      <c r="Y412" s="100">
        <f t="shared" si="161"/>
        <v>5800</v>
      </c>
      <c r="Z412" s="13"/>
      <c r="AA412" s="12"/>
      <c r="AH412" s="13"/>
    </row>
    <row r="413" spans="3:35" ht="15.75" hidden="1" outlineLevel="1" thickBot="1" x14ac:dyDescent="0.3">
      <c r="C413" s="95"/>
      <c r="D413" s="104"/>
      <c r="E413" s="104"/>
      <c r="F413" s="104"/>
      <c r="G413" s="104"/>
      <c r="H413" s="104"/>
      <c r="I413" s="104"/>
      <c r="J413" s="104"/>
      <c r="K413" s="104"/>
      <c r="L413" s="104"/>
      <c r="M413" s="104"/>
      <c r="N413" s="104"/>
      <c r="O413" s="104"/>
      <c r="P413" s="104"/>
      <c r="R413" s="35"/>
      <c r="S413" s="36"/>
      <c r="T413" s="36"/>
      <c r="U413" s="36"/>
      <c r="V413" s="36"/>
      <c r="W413" s="36"/>
      <c r="X413" s="36"/>
      <c r="Y413" s="36"/>
      <c r="Z413" s="37"/>
      <c r="AA413" s="35"/>
      <c r="AB413" s="36"/>
      <c r="AC413" s="36"/>
      <c r="AD413" s="36"/>
      <c r="AE413" s="36"/>
      <c r="AF413" s="36"/>
      <c r="AG413" s="36"/>
      <c r="AH413" s="37"/>
    </row>
    <row r="414" spans="3:35" ht="15.75" hidden="1" outlineLevel="1" thickTop="1" x14ac:dyDescent="0.25">
      <c r="R414" s="41"/>
      <c r="S414" s="42"/>
      <c r="T414" s="42"/>
      <c r="U414" s="42"/>
      <c r="V414" s="42"/>
      <c r="W414" s="42"/>
      <c r="X414" s="42"/>
      <c r="Y414" s="42"/>
      <c r="Z414" s="43"/>
      <c r="AA414" s="41"/>
      <c r="AB414" s="42"/>
      <c r="AC414" s="42"/>
      <c r="AD414" s="42"/>
      <c r="AE414" s="42"/>
      <c r="AF414" s="42"/>
      <c r="AG414" s="42"/>
      <c r="AH414" s="43"/>
    </row>
    <row r="415" spans="3:35" ht="20.25" hidden="1" outlineLevel="1" thickBot="1" x14ac:dyDescent="0.35">
      <c r="C415" s="54" t="s">
        <v>207</v>
      </c>
      <c r="R415" s="12"/>
      <c r="S415" s="162" t="str">
        <f>C415</f>
        <v>Capital Expenditure - Impact on Cash Flow</v>
      </c>
      <c r="Z415" s="13"/>
      <c r="AA415" s="12"/>
      <c r="AB415" s="17"/>
      <c r="AH415" s="13"/>
    </row>
    <row r="416" spans="3:35" ht="18" hidden="1" outlineLevel="1" thickTop="1" x14ac:dyDescent="0.3">
      <c r="C416" s="56"/>
      <c r="D416" s="500" t="s">
        <v>208</v>
      </c>
      <c r="E416" s="500"/>
      <c r="F416" s="500"/>
      <c r="G416" s="500"/>
      <c r="H416" s="500"/>
      <c r="I416" s="500"/>
      <c r="J416" s="500"/>
      <c r="K416" s="500"/>
      <c r="L416" s="61"/>
      <c r="M416" s="499" t="s">
        <v>209</v>
      </c>
      <c r="N416" s="499"/>
      <c r="O416" s="499"/>
      <c r="P416" s="499"/>
      <c r="R416" s="12"/>
      <c r="S416" s="80" t="s">
        <v>48</v>
      </c>
      <c r="Z416" s="13"/>
      <c r="AA416" s="12"/>
      <c r="AH416" s="13"/>
    </row>
    <row r="417" spans="3:34" hidden="1" outlineLevel="1" x14ac:dyDescent="0.25">
      <c r="C417" s="56"/>
      <c r="D417" s="500" t="s">
        <v>42</v>
      </c>
      <c r="E417" s="500"/>
      <c r="F417" s="500"/>
      <c r="G417" s="500"/>
      <c r="H417" s="500" t="s">
        <v>43</v>
      </c>
      <c r="I417" s="500"/>
      <c r="J417" s="500"/>
      <c r="K417" s="500"/>
      <c r="L417" s="61"/>
      <c r="M417" s="62" t="s">
        <v>44</v>
      </c>
      <c r="N417" s="62" t="s">
        <v>45</v>
      </c>
      <c r="O417" s="62" t="s">
        <v>46</v>
      </c>
      <c r="P417" s="62" t="s">
        <v>47</v>
      </c>
      <c r="R417" s="12"/>
      <c r="S417" s="81"/>
      <c r="T417" s="499" t="s">
        <v>52</v>
      </c>
      <c r="U417" s="499"/>
      <c r="V417" s="499"/>
      <c r="W417" s="499"/>
      <c r="X417" s="499"/>
      <c r="Y417" s="499"/>
      <c r="Z417" s="13"/>
      <c r="AA417" s="12"/>
      <c r="AH417" s="13"/>
    </row>
    <row r="418" spans="3:34" hidden="1" outlineLevel="1" x14ac:dyDescent="0.25">
      <c r="C418" s="76"/>
      <c r="D418" s="77">
        <f>StartDate</f>
        <v>46023</v>
      </c>
      <c r="E418" s="77">
        <f>EDATE(D418,3)</f>
        <v>46113</v>
      </c>
      <c r="F418" s="77">
        <f t="shared" ref="F418:K418" si="162">EDATE(E418,3)</f>
        <v>46204</v>
      </c>
      <c r="G418" s="77">
        <f t="shared" si="162"/>
        <v>46296</v>
      </c>
      <c r="H418" s="77">
        <f t="shared" si="162"/>
        <v>46388</v>
      </c>
      <c r="I418" s="77">
        <f t="shared" si="162"/>
        <v>46478</v>
      </c>
      <c r="J418" s="77">
        <f t="shared" si="162"/>
        <v>46569</v>
      </c>
      <c r="K418" s="77">
        <f t="shared" si="162"/>
        <v>46661</v>
      </c>
      <c r="L418" s="61"/>
      <c r="M418" s="77">
        <f>EDATE(K418,3)</f>
        <v>46753</v>
      </c>
      <c r="N418" s="77">
        <f t="shared" ref="N418:P418" si="163">EDATE(M418,12)</f>
        <v>47119</v>
      </c>
      <c r="O418" s="77">
        <f t="shared" si="163"/>
        <v>47484</v>
      </c>
      <c r="P418" s="77">
        <f t="shared" si="163"/>
        <v>47849</v>
      </c>
      <c r="R418" s="12"/>
      <c r="S418" s="81"/>
      <c r="T418" s="62" t="s">
        <v>42</v>
      </c>
      <c r="U418" s="62" t="s">
        <v>43</v>
      </c>
      <c r="V418" s="62" t="s">
        <v>44</v>
      </c>
      <c r="W418" s="62" t="s">
        <v>45</v>
      </c>
      <c r="X418" s="62" t="s">
        <v>46</v>
      </c>
      <c r="Y418" s="62" t="s">
        <v>47</v>
      </c>
      <c r="Z418" s="13"/>
      <c r="AA418" s="12"/>
      <c r="AH418" s="13"/>
    </row>
    <row r="419" spans="3:34" hidden="1" outlineLevel="1" x14ac:dyDescent="0.25">
      <c r="C419" s="59" t="str">
        <f t="shared" ref="C419:C421" si="164">C384</f>
        <v>Office Laptops</v>
      </c>
      <c r="D419" s="163">
        <f>IF(D$418=$E384,$D384,IF(D$418=EDATE($E384,12*$F384),$G384*-1,IF($E384&gt;D$418,IF($E384&lt;E$418,$D384,0),IF(EDATE($E384,12*$F384)&gt;E$418,0,IF(EDATE($E384,12*$F384)&gt;D$418,IF(EDATE($E384,12*$F384)&lt;E$418,$G384*-1,0),0)))))</f>
        <v>0</v>
      </c>
      <c r="E419" s="163">
        <f t="shared" ref="E419:K419" si="165">IF(E$418=$E384,$D384,IF(E$418=EDATE($E384,12*$F384),$G384*-1,IF($E384&gt;E$418,IF($E384&lt;F$418,$D384,0),IF(EDATE($E384,12*$F384)&gt;F$418,0,IF(EDATE($E384,12*$F384)&gt;E$418,IF(EDATE($E384,12*$F384)&lt;F$418,$G384*-1,0),0)))))</f>
        <v>0</v>
      </c>
      <c r="F419" s="163">
        <f t="shared" si="165"/>
        <v>0</v>
      </c>
      <c r="G419" s="163">
        <f t="shared" si="165"/>
        <v>0</v>
      </c>
      <c r="H419" s="163">
        <f t="shared" si="165"/>
        <v>6000</v>
      </c>
      <c r="I419" s="163">
        <f t="shared" si="165"/>
        <v>0</v>
      </c>
      <c r="J419" s="163">
        <f t="shared" si="165"/>
        <v>0</v>
      </c>
      <c r="K419" s="163">
        <f t="shared" si="165"/>
        <v>0</v>
      </c>
      <c r="L419" s="61"/>
      <c r="M419" s="163">
        <f>IF(M$418=$E384,$D384,IF(M$418=EDATE($E384,12*$F384),$G384*-1,IF($E384&gt;M$418,IF($E384&lt;N$418,$D384,0),IF(EDATE($E384,12*$F384)&gt;N$418,0,IF(EDATE($E384,12*$F384)&gt;M$418,IF(EDATE($E384,12*$F384)&lt;N$418,$G384*-1,0),0)))))</f>
        <v>0</v>
      </c>
      <c r="N419" s="163">
        <f t="shared" ref="N419:O419" si="166">IF(N$418=$E384,$D384,IF(N$418=EDATE($E384,12*$F384),$G384*-1,IF($E384&gt;N$418,IF($E384&lt;O$418,$D384,0),IF(EDATE($E384,12*$F384)&gt;O$418,0,IF(EDATE($E384,12*$F384)&gt;N$418,IF(EDATE($E384,12*$F384)&lt;O$418,$G384*-1,0),0)))))</f>
        <v>0</v>
      </c>
      <c r="O419" s="163">
        <f t="shared" si="166"/>
        <v>0</v>
      </c>
      <c r="P419" s="163">
        <f>IF(P$418=$E384,$D384,IF(P$418=EDATE($E384,12*$F384),$G384*-1,IF($E384&gt;P$418,IF($E384&lt;EDATE(P$418,12),$D384,0),IF(EDATE($E384,12*$F384)&gt;EDATE(P$418,12),0,IF(EDATE($E384,12*$F384)&gt;P$418,IF(EDATE($E384,12*$F384)&lt;EDATE(P$418,12),$G384*-1,0),0)))))</f>
        <v>0</v>
      </c>
      <c r="R419" s="12"/>
      <c r="S419" s="81"/>
      <c r="T419" s="77">
        <f>D418</f>
        <v>46023</v>
      </c>
      <c r="U419" s="77">
        <f>H418</f>
        <v>46388</v>
      </c>
      <c r="V419" s="77">
        <f t="shared" ref="V419:Y429" si="167">M418</f>
        <v>46753</v>
      </c>
      <c r="W419" s="77">
        <f t="shared" si="167"/>
        <v>47119</v>
      </c>
      <c r="X419" s="77">
        <f t="shared" si="167"/>
        <v>47484</v>
      </c>
      <c r="Y419" s="77">
        <f t="shared" si="167"/>
        <v>47849</v>
      </c>
      <c r="Z419" s="13"/>
      <c r="AA419" s="12"/>
      <c r="AH419" s="13"/>
    </row>
    <row r="420" spans="3:34" hidden="1" outlineLevel="1" x14ac:dyDescent="0.25">
      <c r="C420" s="59" t="str">
        <f t="shared" si="164"/>
        <v>Company Vehicle</v>
      </c>
      <c r="D420" s="163">
        <f t="shared" ref="D420:K429" si="168">IF(D$418=$E385,$D385,IF(D$418=EDATE($E385,12*$F385),$G385*-1,IF($E385&gt;D$418,IF($E385&lt;E$418,$D385,0),IF(EDATE($E385,12*$F385)&gt;E$418,0,IF(EDATE($E385,12*$F385)&gt;D$418,IF(EDATE($E385,12*$F385)&lt;E$418,$G385*-1,0),0)))))</f>
        <v>0</v>
      </c>
      <c r="E420" s="163">
        <f t="shared" si="168"/>
        <v>0</v>
      </c>
      <c r="F420" s="163">
        <f t="shared" si="168"/>
        <v>0</v>
      </c>
      <c r="G420" s="163">
        <f t="shared" si="168"/>
        <v>0</v>
      </c>
      <c r="H420" s="163">
        <f t="shared" si="168"/>
        <v>20000</v>
      </c>
      <c r="I420" s="163">
        <f t="shared" si="168"/>
        <v>0</v>
      </c>
      <c r="J420" s="163">
        <f t="shared" si="168"/>
        <v>0</v>
      </c>
      <c r="K420" s="163">
        <f t="shared" si="168"/>
        <v>0</v>
      </c>
      <c r="L420" s="61"/>
      <c r="M420" s="163">
        <f t="shared" ref="M420:O429" si="169">IF(M$418=$E385,$D385,IF(M$418=EDATE($E385,12*$F385),$G385*-1,IF($E385&gt;M$418,IF($E385&lt;N$418,$D385,0),IF(EDATE($E385,12*$F385)&gt;N$418,0,IF(EDATE($E385,12*$F385)&gt;M$418,IF(EDATE($E385,12*$F385)&lt;N$418,$G385*-1,0),0)))))</f>
        <v>0</v>
      </c>
      <c r="N420" s="163">
        <f t="shared" si="169"/>
        <v>0</v>
      </c>
      <c r="O420" s="163">
        <f t="shared" si="169"/>
        <v>0</v>
      </c>
      <c r="P420" s="163">
        <f t="shared" ref="P420:P429" si="170">IF(P$418=$E385,$D385,IF(P$418=EDATE($E385,12*$F385),$G385*-1,IF($E385&gt;P$418,IF($E385&lt;EDATE(P$418,12),$D385,0),IF(EDATE($E385,12*$F385)&gt;EDATE(P$418,12),0,IF(EDATE($E385,12*$F385)&gt;P$418,IF(EDATE($E385,12*$F385)&lt;EDATE(P$418,12),$G385*-1,0),0)))))</f>
        <v>0</v>
      </c>
      <c r="R420" s="12"/>
      <c r="S420" s="59" t="str">
        <f t="shared" ref="S420:S429" si="171">C419</f>
        <v>Office Laptops</v>
      </c>
      <c r="T420" s="60">
        <f t="shared" ref="T420:T429" si="172">SUM(D419:G419)</f>
        <v>0</v>
      </c>
      <c r="U420" s="60">
        <f t="shared" ref="U420:U429" si="173">SUM(H419:K419)</f>
        <v>6000</v>
      </c>
      <c r="V420" s="60">
        <f t="shared" si="167"/>
        <v>0</v>
      </c>
      <c r="W420" s="60">
        <f t="shared" si="167"/>
        <v>0</v>
      </c>
      <c r="X420" s="60">
        <f t="shared" si="167"/>
        <v>0</v>
      </c>
      <c r="Y420" s="60">
        <f t="shared" si="167"/>
        <v>0</v>
      </c>
      <c r="Z420" s="13"/>
      <c r="AA420" s="12"/>
      <c r="AH420" s="13"/>
    </row>
    <row r="421" spans="3:34" hidden="1" outlineLevel="1" x14ac:dyDescent="0.25">
      <c r="C421" s="59" t="str">
        <f t="shared" si="164"/>
        <v>Office Furniture</v>
      </c>
      <c r="D421" s="163">
        <f t="shared" si="168"/>
        <v>0</v>
      </c>
      <c r="E421" s="163">
        <f t="shared" si="168"/>
        <v>0</v>
      </c>
      <c r="F421" s="163">
        <f t="shared" si="168"/>
        <v>0</v>
      </c>
      <c r="G421" s="163">
        <f t="shared" si="168"/>
        <v>0</v>
      </c>
      <c r="H421" s="163">
        <f t="shared" si="168"/>
        <v>3000</v>
      </c>
      <c r="I421" s="163">
        <f t="shared" si="168"/>
        <v>0</v>
      </c>
      <c r="J421" s="163">
        <f t="shared" si="168"/>
        <v>0</v>
      </c>
      <c r="K421" s="163">
        <f t="shared" si="168"/>
        <v>0</v>
      </c>
      <c r="L421" s="61"/>
      <c r="M421" s="163">
        <f t="shared" si="169"/>
        <v>0</v>
      </c>
      <c r="N421" s="163">
        <f t="shared" si="169"/>
        <v>0</v>
      </c>
      <c r="O421" s="163">
        <f t="shared" si="169"/>
        <v>0</v>
      </c>
      <c r="P421" s="163">
        <f t="shared" si="170"/>
        <v>0</v>
      </c>
      <c r="R421" s="12"/>
      <c r="S421" s="59" t="str">
        <f t="shared" si="171"/>
        <v>Company Vehicle</v>
      </c>
      <c r="T421" s="60">
        <f t="shared" si="172"/>
        <v>0</v>
      </c>
      <c r="U421" s="60">
        <f t="shared" si="173"/>
        <v>20000</v>
      </c>
      <c r="V421" s="60">
        <f t="shared" si="167"/>
        <v>0</v>
      </c>
      <c r="W421" s="60">
        <f t="shared" si="167"/>
        <v>0</v>
      </c>
      <c r="X421" s="60">
        <f t="shared" si="167"/>
        <v>0</v>
      </c>
      <c r="Y421" s="60">
        <f t="shared" si="167"/>
        <v>0</v>
      </c>
      <c r="Z421" s="13"/>
      <c r="AA421" s="12"/>
      <c r="AH421" s="13"/>
    </row>
    <row r="422" spans="3:34" hidden="1" outlineLevel="1" x14ac:dyDescent="0.25">
      <c r="C422" s="59" t="str">
        <f>IF(C387=0,"-",C387)</f>
        <v>-</v>
      </c>
      <c r="D422" s="163">
        <f t="shared" si="168"/>
        <v>0</v>
      </c>
      <c r="E422" s="163">
        <f t="shared" si="168"/>
        <v>0</v>
      </c>
      <c r="F422" s="163">
        <f t="shared" si="168"/>
        <v>0</v>
      </c>
      <c r="G422" s="163">
        <f t="shared" si="168"/>
        <v>0</v>
      </c>
      <c r="H422" s="163">
        <f t="shared" si="168"/>
        <v>0</v>
      </c>
      <c r="I422" s="163">
        <f t="shared" si="168"/>
        <v>0</v>
      </c>
      <c r="J422" s="163">
        <f t="shared" si="168"/>
        <v>0</v>
      </c>
      <c r="K422" s="163">
        <f t="shared" si="168"/>
        <v>0</v>
      </c>
      <c r="L422" s="61"/>
      <c r="M422" s="163">
        <f t="shared" si="169"/>
        <v>0</v>
      </c>
      <c r="N422" s="163">
        <f t="shared" si="169"/>
        <v>0</v>
      </c>
      <c r="O422" s="163">
        <f t="shared" si="169"/>
        <v>0</v>
      </c>
      <c r="P422" s="163">
        <f t="shared" si="170"/>
        <v>0</v>
      </c>
      <c r="R422" s="12"/>
      <c r="S422" s="59" t="str">
        <f t="shared" si="171"/>
        <v>Office Furniture</v>
      </c>
      <c r="T422" s="60">
        <f t="shared" si="172"/>
        <v>0</v>
      </c>
      <c r="U422" s="60">
        <f t="shared" si="173"/>
        <v>3000</v>
      </c>
      <c r="V422" s="60">
        <f t="shared" si="167"/>
        <v>0</v>
      </c>
      <c r="W422" s="60">
        <f t="shared" si="167"/>
        <v>0</v>
      </c>
      <c r="X422" s="60">
        <f t="shared" si="167"/>
        <v>0</v>
      </c>
      <c r="Y422" s="60">
        <f t="shared" si="167"/>
        <v>0</v>
      </c>
      <c r="Z422" s="13"/>
      <c r="AA422" s="12"/>
      <c r="AH422" s="13"/>
    </row>
    <row r="423" spans="3:34" hidden="1" outlineLevel="1" x14ac:dyDescent="0.25">
      <c r="C423" s="59" t="str">
        <f t="shared" ref="C423:C427" si="174">IF(C388=0,"-",C388)</f>
        <v>-</v>
      </c>
      <c r="D423" s="163">
        <f t="shared" si="168"/>
        <v>0</v>
      </c>
      <c r="E423" s="163">
        <f t="shared" si="168"/>
        <v>0</v>
      </c>
      <c r="F423" s="163">
        <f t="shared" si="168"/>
        <v>0</v>
      </c>
      <c r="G423" s="163">
        <f t="shared" si="168"/>
        <v>0</v>
      </c>
      <c r="H423" s="163">
        <f t="shared" si="168"/>
        <v>0</v>
      </c>
      <c r="I423" s="163">
        <f t="shared" si="168"/>
        <v>0</v>
      </c>
      <c r="J423" s="163">
        <f t="shared" si="168"/>
        <v>0</v>
      </c>
      <c r="K423" s="163">
        <f t="shared" si="168"/>
        <v>0</v>
      </c>
      <c r="L423" s="61"/>
      <c r="M423" s="163">
        <f t="shared" si="169"/>
        <v>0</v>
      </c>
      <c r="N423" s="163">
        <f t="shared" si="169"/>
        <v>0</v>
      </c>
      <c r="O423" s="163">
        <f t="shared" si="169"/>
        <v>0</v>
      </c>
      <c r="P423" s="163">
        <f t="shared" si="170"/>
        <v>0</v>
      </c>
      <c r="R423" s="12"/>
      <c r="S423" s="59" t="str">
        <f t="shared" si="171"/>
        <v>-</v>
      </c>
      <c r="T423" s="60">
        <f t="shared" si="172"/>
        <v>0</v>
      </c>
      <c r="U423" s="60">
        <f t="shared" si="173"/>
        <v>0</v>
      </c>
      <c r="V423" s="60">
        <f t="shared" si="167"/>
        <v>0</v>
      </c>
      <c r="W423" s="60">
        <f t="shared" si="167"/>
        <v>0</v>
      </c>
      <c r="X423" s="60">
        <f t="shared" si="167"/>
        <v>0</v>
      </c>
      <c r="Y423" s="60">
        <f t="shared" si="167"/>
        <v>0</v>
      </c>
      <c r="Z423" s="13"/>
      <c r="AA423" s="12"/>
      <c r="AH423" s="13"/>
    </row>
    <row r="424" spans="3:34" hidden="1" outlineLevel="1" x14ac:dyDescent="0.25">
      <c r="C424" s="59" t="str">
        <f t="shared" si="174"/>
        <v>-</v>
      </c>
      <c r="D424" s="163">
        <f t="shared" si="168"/>
        <v>0</v>
      </c>
      <c r="E424" s="163">
        <f t="shared" si="168"/>
        <v>0</v>
      </c>
      <c r="F424" s="163">
        <f t="shared" si="168"/>
        <v>0</v>
      </c>
      <c r="G424" s="163">
        <f t="shared" si="168"/>
        <v>0</v>
      </c>
      <c r="H424" s="163">
        <f t="shared" si="168"/>
        <v>0</v>
      </c>
      <c r="I424" s="163">
        <f t="shared" si="168"/>
        <v>0</v>
      </c>
      <c r="J424" s="163">
        <f t="shared" si="168"/>
        <v>0</v>
      </c>
      <c r="K424" s="163">
        <f t="shared" si="168"/>
        <v>0</v>
      </c>
      <c r="L424" s="61"/>
      <c r="M424" s="163">
        <f t="shared" si="169"/>
        <v>0</v>
      </c>
      <c r="N424" s="163">
        <f t="shared" si="169"/>
        <v>0</v>
      </c>
      <c r="O424" s="163">
        <f t="shared" si="169"/>
        <v>0</v>
      </c>
      <c r="P424" s="163">
        <f t="shared" si="170"/>
        <v>0</v>
      </c>
      <c r="R424" s="12"/>
      <c r="S424" s="59" t="str">
        <f t="shared" si="171"/>
        <v>-</v>
      </c>
      <c r="T424" s="60">
        <f t="shared" si="172"/>
        <v>0</v>
      </c>
      <c r="U424" s="60">
        <f t="shared" si="173"/>
        <v>0</v>
      </c>
      <c r="V424" s="60">
        <f t="shared" si="167"/>
        <v>0</v>
      </c>
      <c r="W424" s="60">
        <f t="shared" si="167"/>
        <v>0</v>
      </c>
      <c r="X424" s="60">
        <f t="shared" si="167"/>
        <v>0</v>
      </c>
      <c r="Y424" s="60">
        <f t="shared" si="167"/>
        <v>0</v>
      </c>
      <c r="Z424" s="13"/>
      <c r="AA424" s="12"/>
      <c r="AH424" s="13"/>
    </row>
    <row r="425" spans="3:34" hidden="1" outlineLevel="1" x14ac:dyDescent="0.25">
      <c r="C425" s="59" t="str">
        <f t="shared" si="174"/>
        <v>-</v>
      </c>
      <c r="D425" s="163">
        <f t="shared" si="168"/>
        <v>0</v>
      </c>
      <c r="E425" s="163">
        <f t="shared" si="168"/>
        <v>0</v>
      </c>
      <c r="F425" s="163">
        <f t="shared" si="168"/>
        <v>0</v>
      </c>
      <c r="G425" s="163">
        <f t="shared" si="168"/>
        <v>0</v>
      </c>
      <c r="H425" s="163">
        <f t="shared" si="168"/>
        <v>0</v>
      </c>
      <c r="I425" s="163">
        <f t="shared" si="168"/>
        <v>0</v>
      </c>
      <c r="J425" s="163">
        <f t="shared" si="168"/>
        <v>0</v>
      </c>
      <c r="K425" s="163">
        <f t="shared" si="168"/>
        <v>0</v>
      </c>
      <c r="L425" s="61"/>
      <c r="M425" s="163">
        <f t="shared" si="169"/>
        <v>0</v>
      </c>
      <c r="N425" s="163">
        <f t="shared" si="169"/>
        <v>0</v>
      </c>
      <c r="O425" s="163">
        <f t="shared" si="169"/>
        <v>0</v>
      </c>
      <c r="P425" s="163">
        <f t="shared" si="170"/>
        <v>0</v>
      </c>
      <c r="R425" s="12"/>
      <c r="S425" s="59" t="str">
        <f t="shared" si="171"/>
        <v>-</v>
      </c>
      <c r="T425" s="60">
        <f t="shared" si="172"/>
        <v>0</v>
      </c>
      <c r="U425" s="60">
        <f t="shared" si="173"/>
        <v>0</v>
      </c>
      <c r="V425" s="60">
        <f t="shared" si="167"/>
        <v>0</v>
      </c>
      <c r="W425" s="60">
        <f t="shared" si="167"/>
        <v>0</v>
      </c>
      <c r="X425" s="60">
        <f t="shared" si="167"/>
        <v>0</v>
      </c>
      <c r="Y425" s="60">
        <f t="shared" si="167"/>
        <v>0</v>
      </c>
      <c r="Z425" s="13"/>
      <c r="AA425" s="12"/>
      <c r="AH425" s="13"/>
    </row>
    <row r="426" spans="3:34" hidden="1" outlineLevel="1" x14ac:dyDescent="0.25">
      <c r="C426" s="59" t="str">
        <f t="shared" si="174"/>
        <v>-</v>
      </c>
      <c r="D426" s="163">
        <f t="shared" si="168"/>
        <v>0</v>
      </c>
      <c r="E426" s="163">
        <f t="shared" si="168"/>
        <v>0</v>
      </c>
      <c r="F426" s="163">
        <f t="shared" si="168"/>
        <v>0</v>
      </c>
      <c r="G426" s="163">
        <f t="shared" si="168"/>
        <v>0</v>
      </c>
      <c r="H426" s="163">
        <f t="shared" si="168"/>
        <v>0</v>
      </c>
      <c r="I426" s="163">
        <f t="shared" si="168"/>
        <v>0</v>
      </c>
      <c r="J426" s="163">
        <f t="shared" si="168"/>
        <v>0</v>
      </c>
      <c r="K426" s="163">
        <f t="shared" si="168"/>
        <v>0</v>
      </c>
      <c r="L426" s="61"/>
      <c r="M426" s="163">
        <f t="shared" si="169"/>
        <v>0</v>
      </c>
      <c r="N426" s="163">
        <f t="shared" si="169"/>
        <v>0</v>
      </c>
      <c r="O426" s="163">
        <f t="shared" si="169"/>
        <v>0</v>
      </c>
      <c r="P426" s="163">
        <f t="shared" si="170"/>
        <v>0</v>
      </c>
      <c r="R426" s="12"/>
      <c r="S426" s="81" t="str">
        <f t="shared" si="171"/>
        <v>-</v>
      </c>
      <c r="T426" s="60">
        <f t="shared" si="172"/>
        <v>0</v>
      </c>
      <c r="U426" s="60">
        <f t="shared" si="173"/>
        <v>0</v>
      </c>
      <c r="V426" s="60">
        <f t="shared" si="167"/>
        <v>0</v>
      </c>
      <c r="W426" s="60">
        <f t="shared" si="167"/>
        <v>0</v>
      </c>
      <c r="X426" s="60">
        <f t="shared" si="167"/>
        <v>0</v>
      </c>
      <c r="Y426" s="60">
        <f t="shared" si="167"/>
        <v>0</v>
      </c>
      <c r="Z426" s="13"/>
      <c r="AA426" s="12"/>
      <c r="AH426" s="13"/>
    </row>
    <row r="427" spans="3:34" hidden="1" outlineLevel="1" x14ac:dyDescent="0.25">
      <c r="C427" s="59" t="str">
        <f t="shared" si="174"/>
        <v>-</v>
      </c>
      <c r="D427" s="163">
        <f t="shared" si="168"/>
        <v>0</v>
      </c>
      <c r="E427" s="163">
        <f t="shared" si="168"/>
        <v>0</v>
      </c>
      <c r="F427" s="163">
        <f t="shared" si="168"/>
        <v>0</v>
      </c>
      <c r="G427" s="163">
        <f t="shared" si="168"/>
        <v>0</v>
      </c>
      <c r="H427" s="163">
        <f t="shared" si="168"/>
        <v>0</v>
      </c>
      <c r="I427" s="163">
        <f t="shared" si="168"/>
        <v>0</v>
      </c>
      <c r="J427" s="163">
        <f t="shared" si="168"/>
        <v>0</v>
      </c>
      <c r="K427" s="163">
        <f t="shared" si="168"/>
        <v>0</v>
      </c>
      <c r="L427" s="61"/>
      <c r="M427" s="163">
        <f>IF(M$418=$E392,$D392,IF(M$418=EDATE($E392,12*$F392),$G392*-1,IF($E392&gt;M$418,IF($E392&lt;N$418,$D392,0),IF(EDATE($E392,12*$F392)&gt;N$418,0,IF(EDATE($E392,12*$F392)&gt;M$418,IF(EDATE($E392,12*$F392)&lt;N$418,$G392*-1,0),0)))))</f>
        <v>0</v>
      </c>
      <c r="N427" s="163">
        <f t="shared" ref="N427:O427" si="175">IF(N$418=$E392,$D392,IF(N$418=EDATE($E392,12*$F392),$G392*-1,IF($E392&gt;N$418,IF($E392&lt;O$418,$D392,0),IF(EDATE($E392,12*$F392)&gt;O$418,0,IF(EDATE($E392,12*$F392)&gt;N$418,IF(EDATE($E392,12*$F392)&lt;O$418,$G392*-1,0),0)))))</f>
        <v>0</v>
      </c>
      <c r="O427" s="163">
        <f t="shared" si="175"/>
        <v>0</v>
      </c>
      <c r="P427" s="163">
        <f t="shared" si="170"/>
        <v>0</v>
      </c>
      <c r="R427" s="12"/>
      <c r="S427" s="81" t="str">
        <f t="shared" si="171"/>
        <v>-</v>
      </c>
      <c r="T427" s="60">
        <f t="shared" si="172"/>
        <v>0</v>
      </c>
      <c r="U427" s="60">
        <f t="shared" si="173"/>
        <v>0</v>
      </c>
      <c r="V427" s="60">
        <f t="shared" si="167"/>
        <v>0</v>
      </c>
      <c r="W427" s="60">
        <f t="shared" si="167"/>
        <v>0</v>
      </c>
      <c r="X427" s="60">
        <f t="shared" si="167"/>
        <v>0</v>
      </c>
      <c r="Y427" s="60">
        <f t="shared" si="167"/>
        <v>0</v>
      </c>
      <c r="Z427" s="13"/>
      <c r="AA427" s="12"/>
      <c r="AH427" s="13"/>
    </row>
    <row r="428" spans="3:34" hidden="1" outlineLevel="1" x14ac:dyDescent="0.25">
      <c r="C428" s="59" t="s">
        <v>210</v>
      </c>
      <c r="D428" s="163">
        <f t="shared" si="168"/>
        <v>0</v>
      </c>
      <c r="E428" s="163">
        <f t="shared" si="168"/>
        <v>0</v>
      </c>
      <c r="F428" s="163">
        <f t="shared" si="168"/>
        <v>0</v>
      </c>
      <c r="G428" s="163">
        <f t="shared" si="168"/>
        <v>0</v>
      </c>
      <c r="H428" s="163">
        <f t="shared" si="168"/>
        <v>0</v>
      </c>
      <c r="I428" s="163">
        <f t="shared" si="168"/>
        <v>0</v>
      </c>
      <c r="J428" s="163">
        <f t="shared" si="168"/>
        <v>0</v>
      </c>
      <c r="K428" s="163">
        <f t="shared" si="168"/>
        <v>0</v>
      </c>
      <c r="L428" s="61"/>
      <c r="M428" s="163">
        <f t="shared" si="169"/>
        <v>0</v>
      </c>
      <c r="N428" s="163">
        <f t="shared" si="169"/>
        <v>0</v>
      </c>
      <c r="O428" s="163">
        <f t="shared" si="169"/>
        <v>0</v>
      </c>
      <c r="P428" s="163">
        <f t="shared" si="170"/>
        <v>0</v>
      </c>
      <c r="R428" s="12"/>
      <c r="S428" s="81" t="str">
        <f t="shared" si="171"/>
        <v>-</v>
      </c>
      <c r="T428" s="60">
        <f t="shared" si="172"/>
        <v>0</v>
      </c>
      <c r="U428" s="60">
        <f t="shared" si="173"/>
        <v>0</v>
      </c>
      <c r="V428" s="60">
        <f t="shared" si="167"/>
        <v>0</v>
      </c>
      <c r="W428" s="60">
        <f t="shared" si="167"/>
        <v>0</v>
      </c>
      <c r="X428" s="60">
        <f t="shared" si="167"/>
        <v>0</v>
      </c>
      <c r="Y428" s="60">
        <f t="shared" si="167"/>
        <v>0</v>
      </c>
      <c r="Z428" s="13"/>
      <c r="AA428" s="12"/>
      <c r="AH428" s="13"/>
    </row>
    <row r="429" spans="3:34" ht="15.75" hidden="1" outlineLevel="1" thickBot="1" x14ac:dyDescent="0.3">
      <c r="C429" s="111" t="s">
        <v>210</v>
      </c>
      <c r="D429" s="164">
        <f t="shared" si="168"/>
        <v>0</v>
      </c>
      <c r="E429" s="164">
        <f t="shared" si="168"/>
        <v>0</v>
      </c>
      <c r="F429" s="164">
        <f t="shared" si="168"/>
        <v>0</v>
      </c>
      <c r="G429" s="164">
        <f t="shared" si="168"/>
        <v>0</v>
      </c>
      <c r="H429" s="164">
        <f t="shared" si="168"/>
        <v>0</v>
      </c>
      <c r="I429" s="164">
        <f t="shared" si="168"/>
        <v>0</v>
      </c>
      <c r="J429" s="164">
        <f t="shared" si="168"/>
        <v>0</v>
      </c>
      <c r="K429" s="164">
        <f t="shared" si="168"/>
        <v>0</v>
      </c>
      <c r="L429" s="61"/>
      <c r="M429" s="164">
        <f t="shared" si="169"/>
        <v>0</v>
      </c>
      <c r="N429" s="164">
        <f t="shared" si="169"/>
        <v>0</v>
      </c>
      <c r="O429" s="164">
        <f t="shared" si="169"/>
        <v>0</v>
      </c>
      <c r="P429" s="164">
        <f t="shared" si="170"/>
        <v>0</v>
      </c>
      <c r="R429" s="12"/>
      <c r="S429" s="111" t="str">
        <f t="shared" si="171"/>
        <v>Empty</v>
      </c>
      <c r="T429" s="97">
        <f t="shared" si="172"/>
        <v>0</v>
      </c>
      <c r="U429" s="97">
        <f t="shared" si="173"/>
        <v>0</v>
      </c>
      <c r="V429" s="97">
        <f t="shared" si="167"/>
        <v>0</v>
      </c>
      <c r="W429" s="97">
        <f t="shared" si="167"/>
        <v>0</v>
      </c>
      <c r="X429" s="97">
        <f t="shared" si="167"/>
        <v>0</v>
      </c>
      <c r="Y429" s="97">
        <f t="shared" si="167"/>
        <v>0</v>
      </c>
      <c r="Z429" s="13"/>
      <c r="AA429" s="12"/>
      <c r="AH429" s="13"/>
    </row>
    <row r="430" spans="3:34" ht="15.75" hidden="1" outlineLevel="1" thickBot="1" x14ac:dyDescent="0.3">
      <c r="C430" s="98" t="s">
        <v>58</v>
      </c>
      <c r="D430" s="114">
        <f>SUM(D419:D429)</f>
        <v>0</v>
      </c>
      <c r="E430" s="114">
        <f t="shared" ref="E430:P430" si="176">SUM(E419:E429)</f>
        <v>0</v>
      </c>
      <c r="F430" s="114">
        <f t="shared" si="176"/>
        <v>0</v>
      </c>
      <c r="G430" s="114">
        <f>SUM(G419:G429)</f>
        <v>0</v>
      </c>
      <c r="H430" s="114">
        <f t="shared" si="176"/>
        <v>29000</v>
      </c>
      <c r="I430" s="114">
        <f t="shared" si="176"/>
        <v>0</v>
      </c>
      <c r="J430" s="114">
        <f t="shared" si="176"/>
        <v>0</v>
      </c>
      <c r="K430" s="115">
        <f t="shared" si="176"/>
        <v>0</v>
      </c>
      <c r="L430" s="61"/>
      <c r="M430" s="116">
        <f t="shared" si="176"/>
        <v>0</v>
      </c>
      <c r="N430" s="114">
        <f t="shared" si="176"/>
        <v>0</v>
      </c>
      <c r="O430" s="114">
        <f t="shared" si="176"/>
        <v>0</v>
      </c>
      <c r="P430" s="115">
        <f t="shared" si="176"/>
        <v>0</v>
      </c>
      <c r="R430" s="12"/>
      <c r="S430" s="103" t="s">
        <v>75</v>
      </c>
      <c r="T430" s="99">
        <f>SUM(T420:T429)</f>
        <v>0</v>
      </c>
      <c r="U430" s="99">
        <f t="shared" ref="U430:Y430" si="177">SUM(U420:U429)</f>
        <v>29000</v>
      </c>
      <c r="V430" s="99">
        <f t="shared" si="177"/>
        <v>0</v>
      </c>
      <c r="W430" s="99">
        <f t="shared" si="177"/>
        <v>0</v>
      </c>
      <c r="X430" s="99">
        <f t="shared" si="177"/>
        <v>0</v>
      </c>
      <c r="Y430" s="100">
        <f t="shared" si="177"/>
        <v>0</v>
      </c>
      <c r="Z430" s="13"/>
      <c r="AA430" s="12"/>
      <c r="AH430" s="13"/>
    </row>
    <row r="431" spans="3:34" ht="15.75" hidden="1" outlineLevel="1" thickBot="1" x14ac:dyDescent="0.3">
      <c r="R431" s="12"/>
      <c r="Z431" s="13"/>
      <c r="AA431" s="12"/>
      <c r="AH431" s="13"/>
    </row>
    <row r="432" spans="3:34" ht="15.75" hidden="1" outlineLevel="1" thickTop="1" x14ac:dyDescent="0.25">
      <c r="R432" s="41"/>
      <c r="S432" s="42"/>
      <c r="T432" s="42"/>
      <c r="U432" s="42"/>
      <c r="V432" s="42"/>
      <c r="W432" s="42"/>
      <c r="X432" s="42"/>
      <c r="Y432" s="42"/>
      <c r="Z432" s="43"/>
      <c r="AA432" s="41"/>
      <c r="AB432" s="42"/>
      <c r="AC432" s="42"/>
      <c r="AD432" s="42"/>
      <c r="AE432" s="42"/>
      <c r="AF432" s="42"/>
      <c r="AG432" s="42"/>
      <c r="AH432" s="43"/>
    </row>
    <row r="433" spans="3:34" ht="20.25" hidden="1" outlineLevel="1" thickBot="1" x14ac:dyDescent="0.35">
      <c r="C433" s="54" t="s">
        <v>211</v>
      </c>
      <c r="R433" s="12"/>
      <c r="S433" s="162" t="str">
        <f>C433</f>
        <v>Capital Asset Value - Impact on Balance Sheet</v>
      </c>
      <c r="Z433" s="13"/>
      <c r="AA433" s="12"/>
      <c r="AB433" s="17"/>
      <c r="AH433" s="13"/>
    </row>
    <row r="434" spans="3:34" ht="18" hidden="1" outlineLevel="1" thickTop="1" x14ac:dyDescent="0.3">
      <c r="C434" s="56"/>
      <c r="D434" s="500" t="s">
        <v>212</v>
      </c>
      <c r="E434" s="500"/>
      <c r="F434" s="500"/>
      <c r="G434" s="500"/>
      <c r="H434" s="500"/>
      <c r="I434" s="500"/>
      <c r="J434" s="500"/>
      <c r="K434" s="500"/>
      <c r="L434" s="61"/>
      <c r="M434" s="538" t="s">
        <v>213</v>
      </c>
      <c r="N434" s="538"/>
      <c r="O434" s="538"/>
      <c r="P434" s="538"/>
      <c r="R434" s="12"/>
      <c r="S434" s="80" t="s">
        <v>48</v>
      </c>
      <c r="Z434" s="13"/>
      <c r="AA434" s="12"/>
      <c r="AH434" s="13"/>
    </row>
    <row r="435" spans="3:34" hidden="1" outlineLevel="1" x14ac:dyDescent="0.25">
      <c r="C435" s="56"/>
      <c r="D435" s="500" t="s">
        <v>42</v>
      </c>
      <c r="E435" s="500"/>
      <c r="F435" s="500"/>
      <c r="G435" s="500"/>
      <c r="H435" s="500" t="s">
        <v>43</v>
      </c>
      <c r="I435" s="500"/>
      <c r="J435" s="500"/>
      <c r="K435" s="500"/>
      <c r="L435" s="61"/>
      <c r="M435" s="62" t="s">
        <v>44</v>
      </c>
      <c r="N435" s="62" t="s">
        <v>45</v>
      </c>
      <c r="O435" s="62" t="s">
        <v>46</v>
      </c>
      <c r="P435" s="62" t="s">
        <v>47</v>
      </c>
      <c r="R435" s="12"/>
      <c r="S435" s="81"/>
      <c r="T435" s="499" t="s">
        <v>52</v>
      </c>
      <c r="U435" s="499"/>
      <c r="V435" s="499"/>
      <c r="W435" s="499"/>
      <c r="X435" s="499"/>
      <c r="Y435" s="499"/>
      <c r="Z435" s="13"/>
      <c r="AA435" s="12"/>
      <c r="AH435" s="13"/>
    </row>
    <row r="436" spans="3:34" hidden="1" outlineLevel="1" x14ac:dyDescent="0.25">
      <c r="C436" s="76"/>
      <c r="D436" s="77">
        <f>StartDate</f>
        <v>46023</v>
      </c>
      <c r="E436" s="77">
        <f>EDATE(D436,3)</f>
        <v>46113</v>
      </c>
      <c r="F436" s="77">
        <f t="shared" ref="F436:K436" si="178">EDATE(E436,3)</f>
        <v>46204</v>
      </c>
      <c r="G436" s="77">
        <f t="shared" si="178"/>
        <v>46296</v>
      </c>
      <c r="H436" s="77">
        <f t="shared" si="178"/>
        <v>46388</v>
      </c>
      <c r="I436" s="77">
        <f t="shared" si="178"/>
        <v>46478</v>
      </c>
      <c r="J436" s="77">
        <f t="shared" si="178"/>
        <v>46569</v>
      </c>
      <c r="K436" s="77">
        <f t="shared" si="178"/>
        <v>46661</v>
      </c>
      <c r="L436" s="61"/>
      <c r="M436" s="77">
        <f>EDATE(K436,3)</f>
        <v>46753</v>
      </c>
      <c r="N436" s="77">
        <f t="shared" ref="N436:P436" si="179">EDATE(M436,12)</f>
        <v>47119</v>
      </c>
      <c r="O436" s="77">
        <f t="shared" si="179"/>
        <v>47484</v>
      </c>
      <c r="P436" s="77">
        <f t="shared" si="179"/>
        <v>47849</v>
      </c>
      <c r="R436" s="12"/>
      <c r="S436" s="81"/>
      <c r="T436" s="62" t="s">
        <v>42</v>
      </c>
      <c r="U436" s="62" t="s">
        <v>43</v>
      </c>
      <c r="V436" s="62" t="s">
        <v>44</v>
      </c>
      <c r="W436" s="62" t="s">
        <v>45</v>
      </c>
      <c r="X436" s="62" t="s">
        <v>46</v>
      </c>
      <c r="Y436" s="62" t="s">
        <v>47</v>
      </c>
      <c r="Z436" s="13"/>
      <c r="AA436" s="12"/>
      <c r="AH436" s="13"/>
    </row>
    <row r="437" spans="3:34" hidden="1" outlineLevel="1" x14ac:dyDescent="0.25">
      <c r="C437" s="59" t="str">
        <f t="shared" ref="C437:C447" si="180">C401</f>
        <v>Office Laptops</v>
      </c>
      <c r="D437" s="109">
        <f t="shared" ref="D437:D447" si="181">D419</f>
        <v>0</v>
      </c>
      <c r="E437" s="109">
        <f t="shared" ref="E437:P447" si="182">IF(ROUND(D437,1)&gt;0,D437-D401,E419)</f>
        <v>0</v>
      </c>
      <c r="F437" s="109">
        <f t="shared" si="182"/>
        <v>0</v>
      </c>
      <c r="G437" s="109">
        <f t="shared" si="182"/>
        <v>0</v>
      </c>
      <c r="H437" s="109">
        <f t="shared" si="182"/>
        <v>6000</v>
      </c>
      <c r="I437" s="109">
        <f t="shared" si="182"/>
        <v>5700</v>
      </c>
      <c r="J437" s="109">
        <f t="shared" si="182"/>
        <v>5400</v>
      </c>
      <c r="K437" s="109">
        <f t="shared" si="182"/>
        <v>5100</v>
      </c>
      <c r="L437" s="61"/>
      <c r="M437" s="109">
        <f t="shared" ref="M437:M447" si="183">IF(ROUND(K437,1)&gt;0,K437-K401,M419)</f>
        <v>4800</v>
      </c>
      <c r="N437" s="109">
        <f t="shared" si="182"/>
        <v>3600</v>
      </c>
      <c r="O437" s="109">
        <f t="shared" si="182"/>
        <v>2400</v>
      </c>
      <c r="P437" s="109">
        <f t="shared" si="182"/>
        <v>1200</v>
      </c>
      <c r="R437" s="12"/>
      <c r="S437" s="81"/>
      <c r="T437" s="77">
        <f>D436</f>
        <v>46023</v>
      </c>
      <c r="U437" s="77">
        <f>H436</f>
        <v>46388</v>
      </c>
      <c r="V437" s="77">
        <f t="shared" ref="V437:Y447" si="184">M436</f>
        <v>46753</v>
      </c>
      <c r="W437" s="77">
        <f t="shared" si="184"/>
        <v>47119</v>
      </c>
      <c r="X437" s="77">
        <f t="shared" si="184"/>
        <v>47484</v>
      </c>
      <c r="Y437" s="77">
        <f t="shared" si="184"/>
        <v>47849</v>
      </c>
      <c r="Z437" s="13"/>
      <c r="AA437" s="12"/>
      <c r="AH437" s="13"/>
    </row>
    <row r="438" spans="3:34" hidden="1" outlineLevel="1" x14ac:dyDescent="0.25">
      <c r="C438" s="59" t="str">
        <f t="shared" si="180"/>
        <v>Company Vehicle</v>
      </c>
      <c r="D438" s="109">
        <f t="shared" si="181"/>
        <v>0</v>
      </c>
      <c r="E438" s="109">
        <f t="shared" si="182"/>
        <v>0</v>
      </c>
      <c r="F438" s="109">
        <f t="shared" si="182"/>
        <v>0</v>
      </c>
      <c r="G438" s="109">
        <f t="shared" si="182"/>
        <v>0</v>
      </c>
      <c r="H438" s="109">
        <f t="shared" si="182"/>
        <v>20000</v>
      </c>
      <c r="I438" s="109">
        <f t="shared" si="182"/>
        <v>19000</v>
      </c>
      <c r="J438" s="109">
        <f t="shared" si="182"/>
        <v>18000</v>
      </c>
      <c r="K438" s="109">
        <f t="shared" si="182"/>
        <v>17000</v>
      </c>
      <c r="L438" s="61"/>
      <c r="M438" s="109">
        <f t="shared" si="183"/>
        <v>16000</v>
      </c>
      <c r="N438" s="109">
        <f t="shared" si="182"/>
        <v>12000</v>
      </c>
      <c r="O438" s="109">
        <f t="shared" si="182"/>
        <v>8000</v>
      </c>
      <c r="P438" s="109">
        <f t="shared" si="182"/>
        <v>4000</v>
      </c>
      <c r="R438" s="12"/>
      <c r="S438" s="59" t="str">
        <f t="shared" ref="S438:S447" si="185">C437</f>
        <v>Office Laptops</v>
      </c>
      <c r="T438" s="60">
        <f t="shared" ref="T438:T447" si="186">SUM(D437:G437)</f>
        <v>0</v>
      </c>
      <c r="U438" s="60">
        <f t="shared" ref="U438:U447" si="187">SUM(H437:K437)</f>
        <v>22200</v>
      </c>
      <c r="V438" s="60">
        <f t="shared" si="184"/>
        <v>4800</v>
      </c>
      <c r="W438" s="60">
        <f t="shared" si="184"/>
        <v>3600</v>
      </c>
      <c r="X438" s="60">
        <f t="shared" si="184"/>
        <v>2400</v>
      </c>
      <c r="Y438" s="60">
        <f t="shared" si="184"/>
        <v>1200</v>
      </c>
      <c r="Z438" s="13"/>
      <c r="AA438" s="12"/>
      <c r="AH438" s="13"/>
    </row>
    <row r="439" spans="3:34" hidden="1" outlineLevel="1" x14ac:dyDescent="0.25">
      <c r="C439" s="59" t="str">
        <f t="shared" si="180"/>
        <v>Office Furniture</v>
      </c>
      <c r="D439" s="109">
        <f t="shared" si="181"/>
        <v>0</v>
      </c>
      <c r="E439" s="109">
        <f t="shared" si="182"/>
        <v>0</v>
      </c>
      <c r="F439" s="109">
        <f t="shared" si="182"/>
        <v>0</v>
      </c>
      <c r="G439" s="109">
        <f t="shared" si="182"/>
        <v>0</v>
      </c>
      <c r="H439" s="109">
        <f t="shared" si="182"/>
        <v>3000</v>
      </c>
      <c r="I439" s="109">
        <f t="shared" si="182"/>
        <v>2850</v>
      </c>
      <c r="J439" s="109">
        <f t="shared" si="182"/>
        <v>2700</v>
      </c>
      <c r="K439" s="109">
        <f t="shared" si="182"/>
        <v>2550</v>
      </c>
      <c r="L439" s="61"/>
      <c r="M439" s="109">
        <f t="shared" si="183"/>
        <v>2400</v>
      </c>
      <c r="N439" s="109">
        <f t="shared" si="182"/>
        <v>1800</v>
      </c>
      <c r="O439" s="109">
        <f t="shared" si="182"/>
        <v>1200</v>
      </c>
      <c r="P439" s="109">
        <f t="shared" si="182"/>
        <v>600</v>
      </c>
      <c r="R439" s="12"/>
      <c r="S439" s="59" t="str">
        <f t="shared" si="185"/>
        <v>Company Vehicle</v>
      </c>
      <c r="T439" s="60">
        <f t="shared" si="186"/>
        <v>0</v>
      </c>
      <c r="U439" s="60">
        <f t="shared" si="187"/>
        <v>74000</v>
      </c>
      <c r="V439" s="60">
        <f t="shared" si="184"/>
        <v>16000</v>
      </c>
      <c r="W439" s="60">
        <f t="shared" si="184"/>
        <v>12000</v>
      </c>
      <c r="X439" s="60">
        <f t="shared" si="184"/>
        <v>8000</v>
      </c>
      <c r="Y439" s="60">
        <f t="shared" si="184"/>
        <v>4000</v>
      </c>
      <c r="Z439" s="13"/>
      <c r="AA439" s="12"/>
      <c r="AH439" s="13"/>
    </row>
    <row r="440" spans="3:34" hidden="1" outlineLevel="1" x14ac:dyDescent="0.25">
      <c r="C440" s="59" t="str">
        <f t="shared" si="180"/>
        <v>-</v>
      </c>
      <c r="D440" s="109">
        <f t="shared" si="181"/>
        <v>0</v>
      </c>
      <c r="E440" s="109">
        <f t="shared" si="182"/>
        <v>0</v>
      </c>
      <c r="F440" s="109">
        <f t="shared" si="182"/>
        <v>0</v>
      </c>
      <c r="G440" s="109">
        <f t="shared" si="182"/>
        <v>0</v>
      </c>
      <c r="H440" s="109">
        <f t="shared" si="182"/>
        <v>0</v>
      </c>
      <c r="I440" s="109">
        <f t="shared" si="182"/>
        <v>0</v>
      </c>
      <c r="J440" s="109">
        <f t="shared" si="182"/>
        <v>0</v>
      </c>
      <c r="K440" s="109">
        <f t="shared" si="182"/>
        <v>0</v>
      </c>
      <c r="L440" s="61"/>
      <c r="M440" s="109">
        <f t="shared" si="183"/>
        <v>0</v>
      </c>
      <c r="N440" s="109">
        <f t="shared" si="182"/>
        <v>0</v>
      </c>
      <c r="O440" s="109">
        <f t="shared" si="182"/>
        <v>0</v>
      </c>
      <c r="P440" s="109">
        <f t="shared" si="182"/>
        <v>0</v>
      </c>
      <c r="R440" s="12"/>
      <c r="S440" s="59" t="str">
        <f t="shared" si="185"/>
        <v>Office Furniture</v>
      </c>
      <c r="T440" s="60">
        <f t="shared" si="186"/>
        <v>0</v>
      </c>
      <c r="U440" s="60">
        <f t="shared" si="187"/>
        <v>11100</v>
      </c>
      <c r="V440" s="60">
        <f t="shared" si="184"/>
        <v>2400</v>
      </c>
      <c r="W440" s="60">
        <f t="shared" si="184"/>
        <v>1800</v>
      </c>
      <c r="X440" s="60">
        <f t="shared" si="184"/>
        <v>1200</v>
      </c>
      <c r="Y440" s="60">
        <f t="shared" si="184"/>
        <v>600</v>
      </c>
      <c r="Z440" s="13"/>
      <c r="AA440" s="12"/>
      <c r="AH440" s="13"/>
    </row>
    <row r="441" spans="3:34" hidden="1" outlineLevel="1" x14ac:dyDescent="0.25">
      <c r="C441" s="59" t="str">
        <f t="shared" si="180"/>
        <v>-</v>
      </c>
      <c r="D441" s="109">
        <f t="shared" si="181"/>
        <v>0</v>
      </c>
      <c r="E441" s="109">
        <f t="shared" si="182"/>
        <v>0</v>
      </c>
      <c r="F441" s="109">
        <f t="shared" si="182"/>
        <v>0</v>
      </c>
      <c r="G441" s="109">
        <f t="shared" si="182"/>
        <v>0</v>
      </c>
      <c r="H441" s="109">
        <f t="shared" si="182"/>
        <v>0</v>
      </c>
      <c r="I441" s="109">
        <f t="shared" si="182"/>
        <v>0</v>
      </c>
      <c r="J441" s="109">
        <f t="shared" si="182"/>
        <v>0</v>
      </c>
      <c r="K441" s="109">
        <f t="shared" si="182"/>
        <v>0</v>
      </c>
      <c r="L441" s="61"/>
      <c r="M441" s="109">
        <f t="shared" si="183"/>
        <v>0</v>
      </c>
      <c r="N441" s="109">
        <f t="shared" si="182"/>
        <v>0</v>
      </c>
      <c r="O441" s="109">
        <f t="shared" si="182"/>
        <v>0</v>
      </c>
      <c r="P441" s="109">
        <f t="shared" si="182"/>
        <v>0</v>
      </c>
      <c r="R441" s="12"/>
      <c r="S441" s="59" t="str">
        <f t="shared" si="185"/>
        <v>-</v>
      </c>
      <c r="T441" s="60">
        <f t="shared" si="186"/>
        <v>0</v>
      </c>
      <c r="U441" s="60">
        <f t="shared" si="187"/>
        <v>0</v>
      </c>
      <c r="V441" s="60">
        <f t="shared" si="184"/>
        <v>0</v>
      </c>
      <c r="W441" s="60">
        <f t="shared" si="184"/>
        <v>0</v>
      </c>
      <c r="X441" s="60">
        <f t="shared" si="184"/>
        <v>0</v>
      </c>
      <c r="Y441" s="60">
        <f t="shared" si="184"/>
        <v>0</v>
      </c>
      <c r="Z441" s="13"/>
      <c r="AA441" s="12"/>
      <c r="AH441" s="13"/>
    </row>
    <row r="442" spans="3:34" hidden="1" outlineLevel="1" x14ac:dyDescent="0.25">
      <c r="C442" s="59" t="str">
        <f t="shared" si="180"/>
        <v>-</v>
      </c>
      <c r="D442" s="109">
        <f t="shared" si="181"/>
        <v>0</v>
      </c>
      <c r="E442" s="109">
        <f t="shared" si="182"/>
        <v>0</v>
      </c>
      <c r="F442" s="109">
        <f t="shared" si="182"/>
        <v>0</v>
      </c>
      <c r="G442" s="109">
        <f t="shared" si="182"/>
        <v>0</v>
      </c>
      <c r="H442" s="109">
        <f t="shared" si="182"/>
        <v>0</v>
      </c>
      <c r="I442" s="109">
        <f t="shared" si="182"/>
        <v>0</v>
      </c>
      <c r="J442" s="109">
        <f t="shared" si="182"/>
        <v>0</v>
      </c>
      <c r="K442" s="109">
        <f t="shared" si="182"/>
        <v>0</v>
      </c>
      <c r="L442" s="61"/>
      <c r="M442" s="109">
        <f t="shared" si="183"/>
        <v>0</v>
      </c>
      <c r="N442" s="109">
        <f t="shared" si="182"/>
        <v>0</v>
      </c>
      <c r="O442" s="109">
        <f t="shared" si="182"/>
        <v>0</v>
      </c>
      <c r="P442" s="109">
        <f t="shared" si="182"/>
        <v>0</v>
      </c>
      <c r="R442" s="12"/>
      <c r="S442" s="59" t="str">
        <f t="shared" si="185"/>
        <v>-</v>
      </c>
      <c r="T442" s="60">
        <f t="shared" si="186"/>
        <v>0</v>
      </c>
      <c r="U442" s="60">
        <f t="shared" si="187"/>
        <v>0</v>
      </c>
      <c r="V442" s="60">
        <f t="shared" si="184"/>
        <v>0</v>
      </c>
      <c r="W442" s="60">
        <f t="shared" si="184"/>
        <v>0</v>
      </c>
      <c r="X442" s="60">
        <f t="shared" si="184"/>
        <v>0</v>
      </c>
      <c r="Y442" s="60">
        <f t="shared" si="184"/>
        <v>0</v>
      </c>
      <c r="Z442" s="13"/>
      <c r="AA442" s="12"/>
      <c r="AH442" s="13"/>
    </row>
    <row r="443" spans="3:34" hidden="1" outlineLevel="1" x14ac:dyDescent="0.25">
      <c r="C443" s="59" t="str">
        <f t="shared" si="180"/>
        <v>-</v>
      </c>
      <c r="D443" s="109">
        <f t="shared" si="181"/>
        <v>0</v>
      </c>
      <c r="E443" s="109">
        <f t="shared" si="182"/>
        <v>0</v>
      </c>
      <c r="F443" s="109">
        <f t="shared" si="182"/>
        <v>0</v>
      </c>
      <c r="G443" s="109">
        <f t="shared" si="182"/>
        <v>0</v>
      </c>
      <c r="H443" s="109">
        <f t="shared" si="182"/>
        <v>0</v>
      </c>
      <c r="I443" s="109">
        <f t="shared" si="182"/>
        <v>0</v>
      </c>
      <c r="J443" s="109">
        <f t="shared" si="182"/>
        <v>0</v>
      </c>
      <c r="K443" s="109">
        <f t="shared" si="182"/>
        <v>0</v>
      </c>
      <c r="L443" s="61"/>
      <c r="M443" s="109">
        <f t="shared" si="183"/>
        <v>0</v>
      </c>
      <c r="N443" s="109">
        <f t="shared" si="182"/>
        <v>0</v>
      </c>
      <c r="O443" s="109">
        <f t="shared" si="182"/>
        <v>0</v>
      </c>
      <c r="P443" s="109">
        <f t="shared" si="182"/>
        <v>0</v>
      </c>
      <c r="R443" s="12"/>
      <c r="S443" s="59" t="str">
        <f t="shared" si="185"/>
        <v>-</v>
      </c>
      <c r="T443" s="60">
        <f t="shared" si="186"/>
        <v>0</v>
      </c>
      <c r="U443" s="60">
        <f t="shared" si="187"/>
        <v>0</v>
      </c>
      <c r="V443" s="60">
        <f t="shared" si="184"/>
        <v>0</v>
      </c>
      <c r="W443" s="60">
        <f t="shared" si="184"/>
        <v>0</v>
      </c>
      <c r="X443" s="60">
        <f t="shared" si="184"/>
        <v>0</v>
      </c>
      <c r="Y443" s="60">
        <f t="shared" si="184"/>
        <v>0</v>
      </c>
      <c r="Z443" s="13"/>
      <c r="AA443" s="12"/>
      <c r="AH443" s="13"/>
    </row>
    <row r="444" spans="3:34" hidden="1" outlineLevel="1" x14ac:dyDescent="0.25">
      <c r="C444" s="59" t="str">
        <f t="shared" si="180"/>
        <v>-</v>
      </c>
      <c r="D444" s="109">
        <f t="shared" si="181"/>
        <v>0</v>
      </c>
      <c r="E444" s="109">
        <f t="shared" si="182"/>
        <v>0</v>
      </c>
      <c r="F444" s="109">
        <f t="shared" si="182"/>
        <v>0</v>
      </c>
      <c r="G444" s="109">
        <f t="shared" si="182"/>
        <v>0</v>
      </c>
      <c r="H444" s="109">
        <f t="shared" si="182"/>
        <v>0</v>
      </c>
      <c r="I444" s="109">
        <f t="shared" si="182"/>
        <v>0</v>
      </c>
      <c r="J444" s="109">
        <f t="shared" si="182"/>
        <v>0</v>
      </c>
      <c r="K444" s="109">
        <f t="shared" si="182"/>
        <v>0</v>
      </c>
      <c r="L444" s="61"/>
      <c r="M444" s="109">
        <f t="shared" si="183"/>
        <v>0</v>
      </c>
      <c r="N444" s="109">
        <f t="shared" si="182"/>
        <v>0</v>
      </c>
      <c r="O444" s="109">
        <f t="shared" si="182"/>
        <v>0</v>
      </c>
      <c r="P444" s="109">
        <f t="shared" si="182"/>
        <v>0</v>
      </c>
      <c r="R444" s="12"/>
      <c r="S444" s="81" t="str">
        <f t="shared" si="185"/>
        <v>-</v>
      </c>
      <c r="T444" s="60">
        <f t="shared" si="186"/>
        <v>0</v>
      </c>
      <c r="U444" s="60">
        <f t="shared" si="187"/>
        <v>0</v>
      </c>
      <c r="V444" s="60">
        <f t="shared" si="184"/>
        <v>0</v>
      </c>
      <c r="W444" s="60">
        <f t="shared" si="184"/>
        <v>0</v>
      </c>
      <c r="X444" s="60">
        <f t="shared" si="184"/>
        <v>0</v>
      </c>
      <c r="Y444" s="60">
        <f t="shared" si="184"/>
        <v>0</v>
      </c>
      <c r="Z444" s="13"/>
      <c r="AA444" s="12"/>
      <c r="AH444" s="13"/>
    </row>
    <row r="445" spans="3:34" hidden="1" outlineLevel="1" x14ac:dyDescent="0.25">
      <c r="C445" s="59" t="str">
        <f t="shared" si="180"/>
        <v>-</v>
      </c>
      <c r="D445" s="109">
        <f t="shared" si="181"/>
        <v>0</v>
      </c>
      <c r="E445" s="109">
        <f t="shared" si="182"/>
        <v>0</v>
      </c>
      <c r="F445" s="109">
        <f t="shared" si="182"/>
        <v>0</v>
      </c>
      <c r="G445" s="109">
        <f t="shared" si="182"/>
        <v>0</v>
      </c>
      <c r="H445" s="109">
        <f t="shared" si="182"/>
        <v>0</v>
      </c>
      <c r="I445" s="109">
        <f t="shared" si="182"/>
        <v>0</v>
      </c>
      <c r="J445" s="109">
        <f t="shared" si="182"/>
        <v>0</v>
      </c>
      <c r="K445" s="109">
        <f t="shared" si="182"/>
        <v>0</v>
      </c>
      <c r="L445" s="61"/>
      <c r="M445" s="109">
        <f t="shared" si="183"/>
        <v>0</v>
      </c>
      <c r="N445" s="109">
        <f t="shared" si="182"/>
        <v>0</v>
      </c>
      <c r="O445" s="109">
        <f t="shared" si="182"/>
        <v>0</v>
      </c>
      <c r="P445" s="109">
        <f t="shared" si="182"/>
        <v>0</v>
      </c>
      <c r="R445" s="12"/>
      <c r="S445" s="81" t="str">
        <f t="shared" si="185"/>
        <v>-</v>
      </c>
      <c r="T445" s="60">
        <f t="shared" si="186"/>
        <v>0</v>
      </c>
      <c r="U445" s="60">
        <f t="shared" si="187"/>
        <v>0</v>
      </c>
      <c r="V445" s="60">
        <f t="shared" si="184"/>
        <v>0</v>
      </c>
      <c r="W445" s="60">
        <f t="shared" si="184"/>
        <v>0</v>
      </c>
      <c r="X445" s="60">
        <f t="shared" si="184"/>
        <v>0</v>
      </c>
      <c r="Y445" s="60">
        <f t="shared" si="184"/>
        <v>0</v>
      </c>
      <c r="Z445" s="13"/>
      <c r="AA445" s="12"/>
      <c r="AH445" s="13"/>
    </row>
    <row r="446" spans="3:34" hidden="1" outlineLevel="1" x14ac:dyDescent="0.25">
      <c r="C446" s="59" t="str">
        <f t="shared" si="180"/>
        <v>Empty</v>
      </c>
      <c r="D446" s="109">
        <f t="shared" si="181"/>
        <v>0</v>
      </c>
      <c r="E446" s="109">
        <f t="shared" si="182"/>
        <v>0</v>
      </c>
      <c r="F446" s="109">
        <f t="shared" si="182"/>
        <v>0</v>
      </c>
      <c r="G446" s="109">
        <f t="shared" si="182"/>
        <v>0</v>
      </c>
      <c r="H446" s="109">
        <f t="shared" si="182"/>
        <v>0</v>
      </c>
      <c r="I446" s="109">
        <f t="shared" si="182"/>
        <v>0</v>
      </c>
      <c r="J446" s="109">
        <f t="shared" si="182"/>
        <v>0</v>
      </c>
      <c r="K446" s="109">
        <f t="shared" si="182"/>
        <v>0</v>
      </c>
      <c r="L446" s="61"/>
      <c r="M446" s="109">
        <f t="shared" si="183"/>
        <v>0</v>
      </c>
      <c r="N446" s="109">
        <f t="shared" si="182"/>
        <v>0</v>
      </c>
      <c r="O446" s="109">
        <f t="shared" si="182"/>
        <v>0</v>
      </c>
      <c r="P446" s="109">
        <f t="shared" si="182"/>
        <v>0</v>
      </c>
      <c r="R446" s="12"/>
      <c r="S446" s="81" t="str">
        <f t="shared" si="185"/>
        <v>-</v>
      </c>
      <c r="T446" s="60">
        <f t="shared" si="186"/>
        <v>0</v>
      </c>
      <c r="U446" s="60">
        <f t="shared" si="187"/>
        <v>0</v>
      </c>
      <c r="V446" s="60">
        <f t="shared" si="184"/>
        <v>0</v>
      </c>
      <c r="W446" s="60">
        <f t="shared" si="184"/>
        <v>0</v>
      </c>
      <c r="X446" s="60">
        <f t="shared" si="184"/>
        <v>0</v>
      </c>
      <c r="Y446" s="60">
        <f t="shared" si="184"/>
        <v>0</v>
      </c>
      <c r="Z446" s="13"/>
      <c r="AA446" s="12"/>
      <c r="AH446" s="13"/>
    </row>
    <row r="447" spans="3:34" ht="15.75" hidden="1" outlineLevel="1" thickBot="1" x14ac:dyDescent="0.3">
      <c r="C447" s="59" t="str">
        <f t="shared" si="180"/>
        <v>Empty</v>
      </c>
      <c r="D447" s="109">
        <f t="shared" si="181"/>
        <v>0</v>
      </c>
      <c r="E447" s="109">
        <f t="shared" si="182"/>
        <v>0</v>
      </c>
      <c r="F447" s="109">
        <f t="shared" si="182"/>
        <v>0</v>
      </c>
      <c r="G447" s="109">
        <f t="shared" si="182"/>
        <v>0</v>
      </c>
      <c r="H447" s="109">
        <f t="shared" si="182"/>
        <v>0</v>
      </c>
      <c r="I447" s="109">
        <f t="shared" si="182"/>
        <v>0</v>
      </c>
      <c r="J447" s="109">
        <f t="shared" si="182"/>
        <v>0</v>
      </c>
      <c r="K447" s="109">
        <f t="shared" si="182"/>
        <v>0</v>
      </c>
      <c r="L447" s="61"/>
      <c r="M447" s="109">
        <f t="shared" si="183"/>
        <v>0</v>
      </c>
      <c r="N447" s="109">
        <f t="shared" si="182"/>
        <v>0</v>
      </c>
      <c r="O447" s="109">
        <f t="shared" si="182"/>
        <v>0</v>
      </c>
      <c r="P447" s="109">
        <f t="shared" si="182"/>
        <v>0</v>
      </c>
      <c r="R447" s="12"/>
      <c r="S447" s="111" t="str">
        <f t="shared" si="185"/>
        <v>Empty</v>
      </c>
      <c r="T447" s="97">
        <f t="shared" si="186"/>
        <v>0</v>
      </c>
      <c r="U447" s="97">
        <f t="shared" si="187"/>
        <v>0</v>
      </c>
      <c r="V447" s="97">
        <f t="shared" si="184"/>
        <v>0</v>
      </c>
      <c r="W447" s="97">
        <f t="shared" si="184"/>
        <v>0</v>
      </c>
      <c r="X447" s="97">
        <f t="shared" si="184"/>
        <v>0</v>
      </c>
      <c r="Y447" s="97">
        <f t="shared" si="184"/>
        <v>0</v>
      </c>
      <c r="Z447" s="13"/>
      <c r="AA447" s="12"/>
      <c r="AH447" s="13"/>
    </row>
    <row r="448" spans="3:34" ht="15.75" hidden="1" outlineLevel="1" thickBot="1" x14ac:dyDescent="0.3">
      <c r="C448" s="78" t="s">
        <v>58</v>
      </c>
      <c r="D448" s="110">
        <f>SUM(D437:D447)</f>
        <v>0</v>
      </c>
      <c r="E448" s="110">
        <f t="shared" ref="E448:K448" si="188">SUM(E437:E447)</f>
        <v>0</v>
      </c>
      <c r="F448" s="110">
        <f t="shared" si="188"/>
        <v>0</v>
      </c>
      <c r="G448" s="110">
        <f t="shared" si="188"/>
        <v>0</v>
      </c>
      <c r="H448" s="110">
        <f t="shared" si="188"/>
        <v>29000</v>
      </c>
      <c r="I448" s="110">
        <f t="shared" si="188"/>
        <v>27550</v>
      </c>
      <c r="J448" s="110">
        <f>SUM(J437:J447)</f>
        <v>26100</v>
      </c>
      <c r="K448" s="110">
        <f t="shared" si="188"/>
        <v>24650</v>
      </c>
      <c r="L448" s="61"/>
      <c r="M448" s="110">
        <f t="shared" ref="M448:P448" si="189">SUM(M437:M447)</f>
        <v>23200</v>
      </c>
      <c r="N448" s="110">
        <f t="shared" si="189"/>
        <v>17400</v>
      </c>
      <c r="O448" s="110">
        <f t="shared" si="189"/>
        <v>11600</v>
      </c>
      <c r="P448" s="110">
        <f t="shared" si="189"/>
        <v>5800</v>
      </c>
      <c r="R448" s="12"/>
      <c r="S448" s="103" t="s">
        <v>75</v>
      </c>
      <c r="T448" s="99">
        <f>SUM(T438:T447)</f>
        <v>0</v>
      </c>
      <c r="U448" s="99">
        <f>SUM(U438:U447)</f>
        <v>107300</v>
      </c>
      <c r="V448" s="99">
        <f t="shared" ref="V448:Y448" si="190">SUM(V438:V447)</f>
        <v>23200</v>
      </c>
      <c r="W448" s="99">
        <f t="shared" si="190"/>
        <v>17400</v>
      </c>
      <c r="X448" s="99">
        <f t="shared" si="190"/>
        <v>11600</v>
      </c>
      <c r="Y448" s="100">
        <f t="shared" si="190"/>
        <v>5800</v>
      </c>
      <c r="Z448" s="13"/>
      <c r="AA448" s="12"/>
      <c r="AH448" s="13"/>
    </row>
    <row r="449" spans="2:34" hidden="1" outlineLevel="1" x14ac:dyDescent="0.25">
      <c r="R449" s="12"/>
      <c r="Z449" s="13"/>
      <c r="AA449" s="12"/>
      <c r="AH449" s="13"/>
    </row>
    <row r="450" spans="2:34" ht="15.75" hidden="1" outlineLevel="1" thickBot="1" x14ac:dyDescent="0.3">
      <c r="R450" s="35"/>
      <c r="S450" s="36"/>
      <c r="T450" s="36"/>
      <c r="U450" s="36"/>
      <c r="V450" s="36"/>
      <c r="W450" s="36"/>
      <c r="X450" s="36"/>
      <c r="Y450" s="36"/>
      <c r="Z450" s="37"/>
      <c r="AA450" s="35"/>
      <c r="AB450" s="36"/>
      <c r="AC450" s="36"/>
      <c r="AD450" s="36"/>
      <c r="AE450" s="36"/>
      <c r="AF450" s="36"/>
      <c r="AG450" s="36"/>
      <c r="AH450" s="37"/>
    </row>
    <row r="451" spans="2:34" ht="15.75" hidden="1" outlineLevel="1" thickTop="1" x14ac:dyDescent="0.25"/>
    <row r="452" spans="2:34" ht="19.5" collapsed="1" x14ac:dyDescent="0.3">
      <c r="B452" s="363" t="s">
        <v>214</v>
      </c>
    </row>
    <row r="453" spans="2:34" ht="25.5" hidden="1" outlineLevel="1" thickTop="1" thickBot="1" x14ac:dyDescent="0.45">
      <c r="C453" s="3" t="s">
        <v>214</v>
      </c>
      <c r="D453" s="4"/>
      <c r="E453" s="4"/>
      <c r="F453" s="4"/>
      <c r="G453" s="4"/>
      <c r="H453" s="4"/>
      <c r="I453" s="4"/>
      <c r="J453" s="4"/>
      <c r="K453" s="4"/>
      <c r="L453" s="4"/>
      <c r="M453" s="4"/>
      <c r="N453" s="4"/>
      <c r="O453" s="4"/>
      <c r="P453" s="4"/>
      <c r="R453" s="5"/>
      <c r="S453" s="3" t="str">
        <f>CompanyName &amp;" Projected Expenses Chart"</f>
        <v>Sustainsphere Projected Expenses Chart</v>
      </c>
      <c r="T453" s="7"/>
      <c r="U453" s="7"/>
      <c r="V453" s="7"/>
      <c r="W453" s="7"/>
      <c r="X453" s="7"/>
      <c r="Y453" s="7"/>
      <c r="Z453" s="8"/>
    </row>
    <row r="454" spans="2:34" ht="15.75" hidden="1" outlineLevel="1" thickTop="1" x14ac:dyDescent="0.25">
      <c r="C454" s="9" t="str">
        <f>"Expenses ("&amp;SubHeader&amp;")"</f>
        <v>Expenses (EUR)</v>
      </c>
      <c r="E454" s="11"/>
      <c r="F454" s="11"/>
      <c r="R454" s="12"/>
      <c r="Z454" s="13"/>
    </row>
    <row r="455" spans="2:34" ht="20.25" hidden="1" outlineLevel="1" thickBot="1" x14ac:dyDescent="0.35">
      <c r="C455" s="1" t="s">
        <v>215</v>
      </c>
      <c r="D455" s="14"/>
      <c r="E455" s="15"/>
      <c r="F455" s="15"/>
      <c r="G455" s="81" t="s">
        <v>79</v>
      </c>
      <c r="H455" s="15"/>
      <c r="I455" s="15"/>
      <c r="J455" s="16"/>
      <c r="K455" s="16"/>
      <c r="L455" s="16"/>
      <c r="M455" s="16"/>
      <c r="N455" s="16"/>
      <c r="O455" s="16"/>
      <c r="P455" s="16"/>
      <c r="R455" s="12"/>
      <c r="S455" s="17" t="s">
        <v>24</v>
      </c>
      <c r="Z455" s="13"/>
    </row>
    <row r="456" spans="2:34" ht="15.75" hidden="1" outlineLevel="1" thickTop="1" x14ac:dyDescent="0.25">
      <c r="C456" t="s">
        <v>216</v>
      </c>
      <c r="D456" s="65" t="s">
        <v>79</v>
      </c>
      <c r="E456" s="15"/>
      <c r="F456" s="15"/>
      <c r="G456" s="81" t="s">
        <v>81</v>
      </c>
      <c r="H456" s="15"/>
      <c r="I456" s="15"/>
      <c r="J456" s="16"/>
      <c r="K456" s="16"/>
      <c r="L456" s="16"/>
      <c r="M456" s="16"/>
      <c r="N456" s="16"/>
      <c r="O456" s="16"/>
      <c r="P456" s="16"/>
      <c r="R456" s="12"/>
      <c r="Z456" s="13"/>
    </row>
    <row r="457" spans="2:34" ht="19.5" hidden="1" outlineLevel="1" x14ac:dyDescent="0.3">
      <c r="C457" s="54" t="s">
        <v>217</v>
      </c>
      <c r="R457" s="19"/>
      <c r="S457" s="18"/>
      <c r="T457" s="18"/>
      <c r="U457" s="18"/>
      <c r="V457" s="18"/>
      <c r="W457" s="18"/>
      <c r="X457" s="18"/>
      <c r="Y457" s="18"/>
      <c r="Z457" s="20"/>
    </row>
    <row r="458" spans="2:34" hidden="1" outlineLevel="1" x14ac:dyDescent="0.25">
      <c r="C458" s="56"/>
      <c r="D458" s="500" t="str">
        <f>C457&amp;" by Quarter (years 1 and 2)"</f>
        <v>Total Expenses by Quarter (years 1 and 2)</v>
      </c>
      <c r="E458" s="500"/>
      <c r="F458" s="500"/>
      <c r="G458" s="500"/>
      <c r="H458" s="500"/>
      <c r="I458" s="500"/>
      <c r="J458" s="500"/>
      <c r="K458" s="500"/>
      <c r="L458" s="61"/>
      <c r="M458" s="499" t="str">
        <f>"Annual "&amp;C457&amp;" (years 3 to 6)"</f>
        <v>Annual Total Expenses (years 3 to 6)</v>
      </c>
      <c r="N458" s="499"/>
      <c r="O458" s="499"/>
      <c r="P458" s="499"/>
      <c r="R458" s="12"/>
      <c r="Z458" s="13"/>
    </row>
    <row r="459" spans="2:34" hidden="1" outlineLevel="1" x14ac:dyDescent="0.25">
      <c r="C459" s="56"/>
      <c r="D459" s="500" t="s">
        <v>42</v>
      </c>
      <c r="E459" s="500"/>
      <c r="F459" s="500"/>
      <c r="G459" s="500"/>
      <c r="H459" s="500" t="s">
        <v>43</v>
      </c>
      <c r="I459" s="500"/>
      <c r="J459" s="500"/>
      <c r="K459" s="500"/>
      <c r="L459" s="61"/>
      <c r="M459" s="62" t="s">
        <v>44</v>
      </c>
      <c r="N459" s="62" t="s">
        <v>45</v>
      </c>
      <c r="O459" s="62" t="s">
        <v>46</v>
      </c>
      <c r="P459" s="62" t="s">
        <v>47</v>
      </c>
      <c r="R459" s="12"/>
      <c r="Z459" s="13"/>
    </row>
    <row r="460" spans="2:34" hidden="1" outlineLevel="1" x14ac:dyDescent="0.25">
      <c r="C460" s="76"/>
      <c r="D460" s="77">
        <f>StartDate</f>
        <v>46023</v>
      </c>
      <c r="E460" s="77">
        <f>EDATE(D460,3)</f>
        <v>46113</v>
      </c>
      <c r="F460" s="77">
        <f t="shared" ref="F460:K460" si="191">EDATE(E460,3)</f>
        <v>46204</v>
      </c>
      <c r="G460" s="77">
        <f t="shared" si="191"/>
        <v>46296</v>
      </c>
      <c r="H460" s="77">
        <f t="shared" si="191"/>
        <v>46388</v>
      </c>
      <c r="I460" s="77">
        <f t="shared" si="191"/>
        <v>46478</v>
      </c>
      <c r="J460" s="77">
        <f t="shared" si="191"/>
        <v>46569</v>
      </c>
      <c r="K460" s="77">
        <f t="shared" si="191"/>
        <v>46661</v>
      </c>
      <c r="L460" s="61"/>
      <c r="M460" s="77">
        <f>EDATE(K460,3)</f>
        <v>46753</v>
      </c>
      <c r="N460" s="77">
        <f t="shared" ref="N460:P460" si="192">EDATE(M460,12)</f>
        <v>47119</v>
      </c>
      <c r="O460" s="77">
        <f t="shared" si="192"/>
        <v>47484</v>
      </c>
      <c r="P460" s="77">
        <f t="shared" si="192"/>
        <v>47849</v>
      </c>
      <c r="R460" s="12"/>
      <c r="Z460" s="13"/>
    </row>
    <row r="461" spans="2:34" hidden="1" outlineLevel="1" x14ac:dyDescent="0.25">
      <c r="C461" s="59" t="s">
        <v>218</v>
      </c>
      <c r="D461" s="109">
        <f>IF($D$456="Bottom-up",D220,D189)</f>
        <v>0</v>
      </c>
      <c r="E461" s="109">
        <f t="shared" ref="E461:J461" si="193">IF($D$456="Bottom-up",E220,E189)</f>
        <v>0</v>
      </c>
      <c r="F461" s="109">
        <f t="shared" si="193"/>
        <v>0</v>
      </c>
      <c r="G461" s="109">
        <f t="shared" si="193"/>
        <v>0</v>
      </c>
      <c r="H461" s="109">
        <f t="shared" si="193"/>
        <v>2021.2962431999999</v>
      </c>
      <c r="I461" s="109">
        <f t="shared" si="193"/>
        <v>2339.9030635344002</v>
      </c>
      <c r="J461" s="109">
        <f t="shared" si="193"/>
        <v>2708.7302839240115</v>
      </c>
      <c r="K461" s="109">
        <f>IF($D$456="Bottom-up",K220,K189)</f>
        <v>3135.6938949275336</v>
      </c>
      <c r="L461" s="61"/>
      <c r="M461" s="109">
        <f>IF($D$456="Bottom-up",M220,M189)</f>
        <v>23670.021258815006</v>
      </c>
      <c r="N461" s="109">
        <f t="shared" ref="N461:P461" si="194">IF($D$456="Bottom-up",N220,N189)</f>
        <v>44208.275711310096</v>
      </c>
      <c r="O461" s="109">
        <f t="shared" si="194"/>
        <v>82567.380062634184</v>
      </c>
      <c r="P461" s="109">
        <f t="shared" si="194"/>
        <v>154210.31788089732</v>
      </c>
      <c r="R461" s="12"/>
      <c r="Z461" s="13"/>
    </row>
    <row r="462" spans="2:34" hidden="1" outlineLevel="1" x14ac:dyDescent="0.25">
      <c r="C462" s="178" t="s">
        <v>219</v>
      </c>
      <c r="D462" s="109">
        <f>D318+D347</f>
        <v>12750</v>
      </c>
      <c r="E462" s="109">
        <f t="shared" ref="E462:K462" si="195">E318+E347</f>
        <v>12750</v>
      </c>
      <c r="F462" s="109">
        <f t="shared" si="195"/>
        <v>28062.5</v>
      </c>
      <c r="G462" s="109">
        <f t="shared" si="195"/>
        <v>28062.5</v>
      </c>
      <c r="H462" s="109">
        <f t="shared" si="195"/>
        <v>57442.5</v>
      </c>
      <c r="I462" s="109">
        <f t="shared" si="195"/>
        <v>75255</v>
      </c>
      <c r="J462" s="109">
        <f t="shared" si="195"/>
        <v>88117.5</v>
      </c>
      <c r="K462" s="109">
        <f t="shared" si="195"/>
        <v>116292.5</v>
      </c>
      <c r="L462" s="61"/>
      <c r="M462" s="109">
        <f>M318+M347</f>
        <v>664314.80000000005</v>
      </c>
      <c r="N462" s="109">
        <f t="shared" ref="N462:P462" si="196">N318+N347</f>
        <v>670365.48</v>
      </c>
      <c r="O462" s="109">
        <f t="shared" si="196"/>
        <v>738415.82031999994</v>
      </c>
      <c r="P462" s="109">
        <f t="shared" si="196"/>
        <v>746074.41485120007</v>
      </c>
      <c r="R462" s="12"/>
      <c r="Z462" s="13"/>
    </row>
    <row r="463" spans="2:34" hidden="1" outlineLevel="1" x14ac:dyDescent="0.25">
      <c r="C463" s="178" t="s">
        <v>220</v>
      </c>
      <c r="D463" s="109">
        <f>D412</f>
        <v>0</v>
      </c>
      <c r="E463" s="109">
        <f t="shared" ref="E463:K463" si="197">E412</f>
        <v>0</v>
      </c>
      <c r="F463" s="109">
        <f t="shared" si="197"/>
        <v>0</v>
      </c>
      <c r="G463" s="109">
        <f t="shared" si="197"/>
        <v>0</v>
      </c>
      <c r="H463" s="109">
        <f t="shared" si="197"/>
        <v>1450</v>
      </c>
      <c r="I463" s="109">
        <f t="shared" si="197"/>
        <v>1450</v>
      </c>
      <c r="J463" s="109">
        <f t="shared" si="197"/>
        <v>1450</v>
      </c>
      <c r="K463" s="109">
        <f t="shared" si="197"/>
        <v>1450</v>
      </c>
      <c r="L463" s="61"/>
      <c r="M463" s="109">
        <f>M412</f>
        <v>5800</v>
      </c>
      <c r="N463" s="109">
        <f t="shared" ref="N463:P463" si="198">N412</f>
        <v>5800</v>
      </c>
      <c r="O463" s="109">
        <f t="shared" si="198"/>
        <v>5800</v>
      </c>
      <c r="P463" s="109">
        <f t="shared" si="198"/>
        <v>5800</v>
      </c>
      <c r="R463" s="12"/>
      <c r="Z463" s="13"/>
    </row>
    <row r="464" spans="2:34" hidden="1" outlineLevel="1" x14ac:dyDescent="0.25">
      <c r="C464" s="78" t="s">
        <v>58</v>
      </c>
      <c r="D464" s="79">
        <f t="shared" ref="D464:K464" si="199">SUM(D461:D463)</f>
        <v>12750</v>
      </c>
      <c r="E464" s="79">
        <f t="shared" si="199"/>
        <v>12750</v>
      </c>
      <c r="F464" s="79">
        <f t="shared" si="199"/>
        <v>28062.5</v>
      </c>
      <c r="G464" s="79">
        <f t="shared" si="199"/>
        <v>28062.5</v>
      </c>
      <c r="H464" s="79">
        <f t="shared" si="199"/>
        <v>60913.796243199999</v>
      </c>
      <c r="I464" s="79">
        <f t="shared" si="199"/>
        <v>79044.903063534395</v>
      </c>
      <c r="J464" s="79">
        <f t="shared" si="199"/>
        <v>92276.230283924015</v>
      </c>
      <c r="K464" s="79">
        <f t="shared" si="199"/>
        <v>120878.19389492754</v>
      </c>
      <c r="L464" s="61"/>
      <c r="M464" s="79">
        <f>SUM(M461:M463)</f>
        <v>693784.82125881501</v>
      </c>
      <c r="N464" s="79">
        <f>SUM(N461:N463)</f>
        <v>720373.75571131008</v>
      </c>
      <c r="O464" s="79">
        <f>SUM(O461:O463)</f>
        <v>826783.20038263407</v>
      </c>
      <c r="P464" s="79">
        <f>SUM(P461:P463)</f>
        <v>906084.73273209739</v>
      </c>
      <c r="R464" s="12"/>
      <c r="Z464" s="13"/>
    </row>
    <row r="465" spans="3:27" hidden="1" outlineLevel="1" x14ac:dyDescent="0.25">
      <c r="D465" s="14"/>
      <c r="E465" s="15"/>
      <c r="F465" s="15"/>
      <c r="G465" s="15"/>
      <c r="H465" s="15"/>
      <c r="I465" s="15"/>
      <c r="J465" s="16"/>
      <c r="K465" s="16"/>
      <c r="L465" s="16"/>
      <c r="M465" s="16"/>
      <c r="N465" s="16"/>
      <c r="O465" s="16"/>
      <c r="P465" s="16"/>
      <c r="R465" s="12"/>
      <c r="Z465" s="13"/>
    </row>
    <row r="466" spans="3:27" hidden="1" outlineLevel="1" x14ac:dyDescent="0.25">
      <c r="D466" s="14"/>
      <c r="E466" s="15"/>
      <c r="F466" s="15"/>
      <c r="G466" s="15"/>
      <c r="H466" s="15"/>
      <c r="I466" s="15"/>
      <c r="J466" s="16"/>
      <c r="K466" s="16"/>
      <c r="L466" s="16"/>
      <c r="M466" s="16"/>
      <c r="N466" s="16"/>
      <c r="O466" s="16"/>
      <c r="P466" s="16"/>
      <c r="R466" s="12"/>
      <c r="Z466" s="13"/>
    </row>
    <row r="467" spans="3:27" hidden="1" outlineLevel="1" x14ac:dyDescent="0.25">
      <c r="R467" s="12"/>
      <c r="Z467" s="13"/>
    </row>
    <row r="468" spans="3:27" hidden="1" outlineLevel="1" x14ac:dyDescent="0.25">
      <c r="R468" s="12"/>
      <c r="Z468" s="13"/>
    </row>
    <row r="469" spans="3:27" hidden="1" outlineLevel="1" x14ac:dyDescent="0.25">
      <c r="C469" s="105"/>
      <c r="D469" s="105"/>
      <c r="E469" s="105"/>
      <c r="F469" s="105"/>
      <c r="G469" s="105"/>
      <c r="H469" s="105"/>
      <c r="I469" s="105"/>
      <c r="J469" s="105"/>
      <c r="K469" s="105"/>
      <c r="L469" s="105"/>
      <c r="M469" s="105"/>
      <c r="N469" s="105"/>
      <c r="O469" s="105"/>
      <c r="P469" s="105"/>
      <c r="Q469" s="105"/>
      <c r="R469" s="12"/>
      <c r="Z469" s="13"/>
      <c r="AA469" s="105"/>
    </row>
    <row r="470" spans="3:27" ht="15.75" hidden="1" outlineLevel="1" thickBot="1" x14ac:dyDescent="0.3">
      <c r="R470" s="35"/>
      <c r="S470" s="36"/>
      <c r="T470" s="36"/>
      <c r="U470" s="36"/>
      <c r="V470" s="36"/>
      <c r="W470" s="36"/>
      <c r="X470" s="36"/>
      <c r="Y470" s="36"/>
      <c r="Z470" s="37"/>
    </row>
    <row r="471" spans="3:27" ht="15.75" hidden="1" outlineLevel="1" thickTop="1" x14ac:dyDescent="0.25">
      <c r="R471" s="41"/>
      <c r="S471" s="42"/>
      <c r="T471" s="42"/>
      <c r="U471" s="42"/>
      <c r="V471" s="42"/>
      <c r="W471" s="42"/>
      <c r="X471" s="42"/>
      <c r="Y471" s="42"/>
      <c r="Z471" s="43"/>
    </row>
    <row r="472" spans="3:27" ht="18" hidden="1" outlineLevel="1" thickBot="1" x14ac:dyDescent="0.35">
      <c r="R472" s="12"/>
      <c r="S472" s="17" t="s">
        <v>48</v>
      </c>
      <c r="Z472" s="13"/>
    </row>
    <row r="473" spans="3:27" ht="15.75" hidden="1" outlineLevel="1" thickTop="1" x14ac:dyDescent="0.25">
      <c r="C473" s="106"/>
      <c r="D473" s="106"/>
      <c r="E473" s="106"/>
      <c r="F473" s="106"/>
      <c r="G473" s="106"/>
      <c r="H473" s="106"/>
      <c r="I473" s="106"/>
      <c r="J473" s="106"/>
      <c r="K473" s="106"/>
      <c r="L473" s="106"/>
      <c r="M473" s="106"/>
      <c r="N473" s="106"/>
      <c r="O473" s="106"/>
      <c r="P473" s="106"/>
      <c r="Q473" s="106"/>
      <c r="R473" s="12"/>
      <c r="Z473" s="13"/>
      <c r="AA473" s="106"/>
    </row>
    <row r="474" spans="3:27" hidden="1" outlineLevel="1" x14ac:dyDescent="0.25">
      <c r="D474" s="50"/>
      <c r="E474" s="50"/>
      <c r="F474" s="50"/>
      <c r="G474" s="50"/>
      <c r="H474" s="50"/>
      <c r="I474" s="50"/>
      <c r="J474" s="50"/>
      <c r="K474" s="50"/>
      <c r="L474" s="50"/>
      <c r="M474" s="50"/>
      <c r="N474" s="50"/>
      <c r="O474" s="50"/>
      <c r="P474" s="50"/>
      <c r="R474" s="12"/>
      <c r="S474" s="81"/>
      <c r="T474" s="499" t="s">
        <v>52</v>
      </c>
      <c r="U474" s="499"/>
      <c r="V474" s="499"/>
      <c r="W474" s="499"/>
      <c r="X474" s="499"/>
      <c r="Y474" s="499"/>
      <c r="Z474" s="13"/>
    </row>
    <row r="475" spans="3:27" hidden="1" outlineLevel="1" x14ac:dyDescent="0.25">
      <c r="R475" s="12"/>
      <c r="S475" s="81"/>
      <c r="T475" s="62" t="s">
        <v>42</v>
      </c>
      <c r="U475" s="62" t="s">
        <v>43</v>
      </c>
      <c r="V475" s="62" t="s">
        <v>44</v>
      </c>
      <c r="W475" s="62" t="s">
        <v>45</v>
      </c>
      <c r="X475" s="62" t="s">
        <v>46</v>
      </c>
      <c r="Y475" s="62" t="s">
        <v>47</v>
      </c>
      <c r="Z475" s="13"/>
    </row>
    <row r="476" spans="3:27" hidden="1" outlineLevel="1" x14ac:dyDescent="0.25">
      <c r="R476" s="12"/>
      <c r="S476" s="81"/>
      <c r="T476" s="77">
        <f>D460</f>
        <v>46023</v>
      </c>
      <c r="U476" s="77">
        <f>H460</f>
        <v>46388</v>
      </c>
      <c r="V476" s="77">
        <f t="shared" ref="V476:Y479" si="200">M460</f>
        <v>46753</v>
      </c>
      <c r="W476" s="77">
        <f t="shared" si="200"/>
        <v>47119</v>
      </c>
      <c r="X476" s="77">
        <f t="shared" si="200"/>
        <v>47484</v>
      </c>
      <c r="Y476" s="77">
        <f t="shared" si="200"/>
        <v>47849</v>
      </c>
      <c r="Z476" s="13"/>
    </row>
    <row r="477" spans="3:27" hidden="1" outlineLevel="1" x14ac:dyDescent="0.25">
      <c r="R477" s="12"/>
      <c r="S477" s="59" t="str">
        <f>C461</f>
        <v>COS</v>
      </c>
      <c r="T477" s="60">
        <f>SUM(D461:G461)</f>
        <v>0</v>
      </c>
      <c r="U477" s="60">
        <f>SUM(H461:K461)</f>
        <v>10205.623485585946</v>
      </c>
      <c r="V477" s="60">
        <f t="shared" si="200"/>
        <v>23670.021258815006</v>
      </c>
      <c r="W477" s="60">
        <f t="shared" si="200"/>
        <v>44208.275711310096</v>
      </c>
      <c r="X477" s="60">
        <f t="shared" si="200"/>
        <v>82567.380062634184</v>
      </c>
      <c r="Y477" s="60">
        <f t="shared" si="200"/>
        <v>154210.31788089732</v>
      </c>
      <c r="Z477" s="13"/>
    </row>
    <row r="478" spans="3:27" ht="30" hidden="1" outlineLevel="1" x14ac:dyDescent="0.25">
      <c r="R478" s="12"/>
      <c r="S478" s="178" t="str">
        <f>C462</f>
        <v>Operating Expenses (incl. payroll)</v>
      </c>
      <c r="T478" s="60">
        <f>SUM(D462:G462)</f>
        <v>81625</v>
      </c>
      <c r="U478" s="60">
        <f>SUM(H462:K462)</f>
        <v>337107.5</v>
      </c>
      <c r="V478" s="60">
        <f t="shared" si="200"/>
        <v>664314.80000000005</v>
      </c>
      <c r="W478" s="60">
        <f t="shared" si="200"/>
        <v>670365.48</v>
      </c>
      <c r="X478" s="60">
        <f t="shared" si="200"/>
        <v>738415.82031999994</v>
      </c>
      <c r="Y478" s="60">
        <f t="shared" si="200"/>
        <v>746074.41485120007</v>
      </c>
      <c r="Z478" s="13"/>
    </row>
    <row r="479" spans="3:27" ht="30.75" hidden="1" outlineLevel="1" thickBot="1" x14ac:dyDescent="0.3">
      <c r="R479" s="12"/>
      <c r="S479" s="179" t="str">
        <f>C463</f>
        <v>Depreciation and Amortization</v>
      </c>
      <c r="T479" s="97">
        <f>SUM(D463:G463)</f>
        <v>0</v>
      </c>
      <c r="U479" s="97">
        <f>SUM(H463:K463)</f>
        <v>5800</v>
      </c>
      <c r="V479" s="97">
        <f t="shared" si="200"/>
        <v>5800</v>
      </c>
      <c r="W479" s="97">
        <f t="shared" si="200"/>
        <v>5800</v>
      </c>
      <c r="X479" s="97">
        <f t="shared" si="200"/>
        <v>5800</v>
      </c>
      <c r="Y479" s="97">
        <f t="shared" si="200"/>
        <v>5800</v>
      </c>
      <c r="Z479" s="13"/>
    </row>
    <row r="480" spans="3:27" ht="15.75" hidden="1" outlineLevel="1" thickBot="1" x14ac:dyDescent="0.3">
      <c r="R480" s="12"/>
      <c r="S480" s="103" t="s">
        <v>75</v>
      </c>
      <c r="T480" s="99">
        <f t="shared" ref="T480:Y480" si="201">SUM(T477:T479)</f>
        <v>81625</v>
      </c>
      <c r="U480" s="99">
        <f t="shared" si="201"/>
        <v>353113.12348558597</v>
      </c>
      <c r="V480" s="99">
        <f t="shared" si="201"/>
        <v>693784.82125881501</v>
      </c>
      <c r="W480" s="99">
        <f t="shared" si="201"/>
        <v>720373.75571131008</v>
      </c>
      <c r="X480" s="99">
        <f t="shared" si="201"/>
        <v>826783.20038263407</v>
      </c>
      <c r="Y480" s="100">
        <f t="shared" si="201"/>
        <v>906084.73273209739</v>
      </c>
      <c r="Z480" s="13"/>
    </row>
    <row r="481" spans="18:26" hidden="1" outlineLevel="1" x14ac:dyDescent="0.25">
      <c r="R481" s="12"/>
      <c r="Z481" s="13"/>
    </row>
    <row r="482" spans="18:26" hidden="1" outlineLevel="1" x14ac:dyDescent="0.25">
      <c r="R482" s="12"/>
      <c r="Z482" s="13"/>
    </row>
    <row r="483" spans="18:26" hidden="1" outlineLevel="1" x14ac:dyDescent="0.25">
      <c r="R483" s="12"/>
      <c r="Z483" s="13"/>
    </row>
    <row r="484" spans="18:26" hidden="1" outlineLevel="1" x14ac:dyDescent="0.25">
      <c r="R484" s="12"/>
      <c r="Z484" s="13"/>
    </row>
    <row r="485" spans="18:26" hidden="1" outlineLevel="1" x14ac:dyDescent="0.25">
      <c r="R485" s="12"/>
      <c r="Z485" s="13"/>
    </row>
    <row r="486" spans="18:26" hidden="1" outlineLevel="1" x14ac:dyDescent="0.25">
      <c r="R486" s="12"/>
      <c r="Z486" s="13"/>
    </row>
    <row r="487" spans="18:26" hidden="1" outlineLevel="1" x14ac:dyDescent="0.25">
      <c r="R487" s="12"/>
      <c r="Z487" s="13"/>
    </row>
    <row r="488" spans="18:26" hidden="1" outlineLevel="1" x14ac:dyDescent="0.25">
      <c r="R488" s="12"/>
      <c r="Z488" s="13"/>
    </row>
    <row r="489" spans="18:26" hidden="1" outlineLevel="1" x14ac:dyDescent="0.25">
      <c r="R489" s="12"/>
      <c r="Z489" s="13"/>
    </row>
    <row r="490" spans="18:26" hidden="1" outlineLevel="1" x14ac:dyDescent="0.25">
      <c r="R490" s="12"/>
      <c r="Z490" s="13"/>
    </row>
    <row r="491" spans="18:26" hidden="1" outlineLevel="1" x14ac:dyDescent="0.25">
      <c r="R491" s="12"/>
      <c r="Z491" s="13"/>
    </row>
    <row r="492" spans="18:26" hidden="1" outlineLevel="1" x14ac:dyDescent="0.25">
      <c r="R492" s="12"/>
      <c r="Z492" s="13"/>
    </row>
    <row r="493" spans="18:26" hidden="1" outlineLevel="1" x14ac:dyDescent="0.25">
      <c r="R493" s="12"/>
      <c r="Z493" s="13"/>
    </row>
    <row r="494" spans="18:26" hidden="1" outlineLevel="1" x14ac:dyDescent="0.25">
      <c r="R494" s="12"/>
      <c r="Z494" s="13"/>
    </row>
    <row r="495" spans="18:26" hidden="1" outlineLevel="1" x14ac:dyDescent="0.25">
      <c r="R495" s="12"/>
      <c r="Z495" s="13"/>
    </row>
    <row r="496" spans="18:26" hidden="1" outlineLevel="1" x14ac:dyDescent="0.25">
      <c r="R496" s="12"/>
      <c r="Z496" s="13"/>
    </row>
    <row r="497" spans="2:26" hidden="1" outlineLevel="1" x14ac:dyDescent="0.25">
      <c r="R497" s="12"/>
      <c r="Z497" s="13"/>
    </row>
    <row r="498" spans="2:26" hidden="1" outlineLevel="1" x14ac:dyDescent="0.25">
      <c r="R498" s="12"/>
      <c r="Z498" s="13"/>
    </row>
    <row r="499" spans="2:26" ht="15.75" hidden="1" outlineLevel="1" thickBot="1" x14ac:dyDescent="0.3">
      <c r="R499" s="35"/>
      <c r="S499" s="36"/>
      <c r="T499" s="36"/>
      <c r="U499" s="36"/>
      <c r="V499" s="36"/>
      <c r="W499" s="36"/>
      <c r="X499" s="36"/>
      <c r="Y499" s="36"/>
      <c r="Z499" s="37"/>
    </row>
    <row r="500" spans="2:26" ht="15.75" hidden="1" outlineLevel="1" thickTop="1" x14ac:dyDescent="0.25"/>
    <row r="501" spans="2:26" ht="19.5" collapsed="1" x14ac:dyDescent="0.3">
      <c r="B501" s="364" t="s">
        <v>221</v>
      </c>
    </row>
    <row r="502" spans="2:26" ht="24.75" hidden="1" outlineLevel="1" thickBot="1" x14ac:dyDescent="0.45">
      <c r="C502" s="3" t="s">
        <v>222</v>
      </c>
      <c r="D502" s="4"/>
      <c r="E502" s="4"/>
      <c r="F502" s="4"/>
      <c r="G502" s="4"/>
      <c r="H502" s="4"/>
      <c r="I502" s="4"/>
      <c r="J502" s="4"/>
      <c r="K502" s="4"/>
      <c r="L502" s="4"/>
      <c r="M502" s="4"/>
      <c r="N502" s="4"/>
      <c r="O502" s="4"/>
      <c r="P502" s="4"/>
    </row>
    <row r="503" spans="2:26" ht="15.75" hidden="1" outlineLevel="1" thickTop="1" x14ac:dyDescent="0.25">
      <c r="C503" s="9" t="str">
        <f>"Working Capital ("&amp;SubHeader&amp;")"</f>
        <v>Working Capital (EUR)</v>
      </c>
      <c r="D503" s="10"/>
      <c r="E503" s="11"/>
      <c r="F503" s="11"/>
    </row>
    <row r="504" spans="2:26" hidden="1" outlineLevel="1" x14ac:dyDescent="0.25">
      <c r="D504" s="10"/>
      <c r="E504" s="15"/>
      <c r="F504" s="15"/>
      <c r="G504" s="15"/>
      <c r="H504" s="15"/>
      <c r="I504" s="15"/>
      <c r="J504" s="16"/>
      <c r="K504" s="16"/>
      <c r="L504" s="16"/>
      <c r="M504" s="16"/>
      <c r="N504" s="16"/>
      <c r="O504" s="16"/>
      <c r="P504" s="16"/>
    </row>
    <row r="505" spans="2:26" ht="19.5" hidden="1" outlineLevel="1" x14ac:dyDescent="0.3">
      <c r="C505" s="2" t="s">
        <v>215</v>
      </c>
      <c r="D505" s="14"/>
    </row>
    <row r="506" spans="2:26" hidden="1" outlineLevel="1" x14ac:dyDescent="0.25">
      <c r="C506" s="81" t="s">
        <v>223</v>
      </c>
      <c r="D506" s="460" t="s">
        <v>79</v>
      </c>
      <c r="F506" t="s">
        <v>79</v>
      </c>
    </row>
    <row r="507" spans="2:26" hidden="1" outlineLevel="1" x14ac:dyDescent="0.25">
      <c r="C507" s="81" t="s">
        <v>224</v>
      </c>
      <c r="F507" t="s">
        <v>225</v>
      </c>
    </row>
    <row r="508" spans="2:26" ht="20.25" hidden="1" outlineLevel="1" thickBot="1" x14ac:dyDescent="0.35">
      <c r="C508" s="26"/>
    </row>
    <row r="509" spans="2:26" ht="20.25" hidden="1" outlineLevel="1" thickTop="1" x14ac:dyDescent="0.3">
      <c r="C509" s="2" t="s">
        <v>226</v>
      </c>
    </row>
    <row r="510" spans="2:26" hidden="1" outlineLevel="1" x14ac:dyDescent="0.25">
      <c r="C510" s="81"/>
      <c r="D510" s="500" t="s">
        <v>227</v>
      </c>
      <c r="E510" s="500"/>
      <c r="F510" s="500"/>
      <c r="G510" s="500"/>
      <c r="H510" s="500"/>
      <c r="I510" s="500"/>
      <c r="J510" s="500"/>
      <c r="K510" s="500"/>
      <c r="L510" s="61"/>
      <c r="M510" s="499" t="s">
        <v>228</v>
      </c>
      <c r="N510" s="499"/>
      <c r="O510" s="499"/>
      <c r="P510" s="499"/>
    </row>
    <row r="511" spans="2:26" hidden="1" outlineLevel="1" x14ac:dyDescent="0.25">
      <c r="C511" s="81"/>
      <c r="D511" s="500" t="s">
        <v>42</v>
      </c>
      <c r="E511" s="500"/>
      <c r="F511" s="500"/>
      <c r="G511" s="500"/>
      <c r="H511" s="500" t="s">
        <v>43</v>
      </c>
      <c r="I511" s="500"/>
      <c r="J511" s="500"/>
      <c r="K511" s="500"/>
      <c r="L511" s="61"/>
      <c r="M511" s="62" t="s">
        <v>44</v>
      </c>
      <c r="N511" s="62" t="s">
        <v>45</v>
      </c>
      <c r="O511" s="62" t="s">
        <v>46</v>
      </c>
      <c r="P511" s="62" t="s">
        <v>47</v>
      </c>
    </row>
    <row r="512" spans="2:26" hidden="1" outlineLevel="1" x14ac:dyDescent="0.25">
      <c r="C512" s="81"/>
      <c r="D512" s="77">
        <f>StartDate</f>
        <v>46023</v>
      </c>
      <c r="E512" s="77">
        <f>EDATE(D512,3)</f>
        <v>46113</v>
      </c>
      <c r="F512" s="77">
        <f t="shared" ref="F512:K512" si="202">EDATE(E512,3)</f>
        <v>46204</v>
      </c>
      <c r="G512" s="77">
        <f t="shared" si="202"/>
        <v>46296</v>
      </c>
      <c r="H512" s="77">
        <f t="shared" si="202"/>
        <v>46388</v>
      </c>
      <c r="I512" s="77">
        <f t="shared" si="202"/>
        <v>46478</v>
      </c>
      <c r="J512" s="77">
        <f t="shared" si="202"/>
        <v>46569</v>
      </c>
      <c r="K512" s="77">
        <f t="shared" si="202"/>
        <v>46661</v>
      </c>
      <c r="L512" s="61"/>
      <c r="M512" s="77">
        <f>EDATE(K512,3)</f>
        <v>46753</v>
      </c>
      <c r="N512" s="77">
        <f t="shared" ref="N512:P512" si="203">EDATE(M512,12)</f>
        <v>47119</v>
      </c>
      <c r="O512" s="77">
        <f t="shared" si="203"/>
        <v>47484</v>
      </c>
      <c r="P512" s="77">
        <f t="shared" si="203"/>
        <v>47849</v>
      </c>
    </row>
    <row r="513" spans="3:16" hidden="1" outlineLevel="1" x14ac:dyDescent="0.25">
      <c r="C513" s="170" t="s">
        <v>215</v>
      </c>
      <c r="D513" s="171"/>
      <c r="E513" s="171"/>
      <c r="F513" s="171"/>
      <c r="G513" s="171"/>
      <c r="H513" s="171"/>
      <c r="I513" s="171"/>
      <c r="J513" s="171"/>
      <c r="K513" s="171"/>
      <c r="L513" s="61"/>
      <c r="M513" s="171"/>
      <c r="N513" s="171"/>
      <c r="O513" s="171"/>
      <c r="P513" s="171"/>
    </row>
    <row r="514" spans="3:16" ht="30" hidden="1" outlineLevel="1" x14ac:dyDescent="0.25">
      <c r="C514" s="194" t="s">
        <v>229</v>
      </c>
      <c r="D514" s="169"/>
      <c r="E514" s="169"/>
      <c r="F514" s="169"/>
      <c r="G514" s="169"/>
      <c r="H514" s="169">
        <v>10</v>
      </c>
      <c r="I514" s="169">
        <f t="shared" ref="I514:P516" si="204">H514</f>
        <v>10</v>
      </c>
      <c r="J514" s="169">
        <f t="shared" si="204"/>
        <v>10</v>
      </c>
      <c r="K514" s="169">
        <f t="shared" si="204"/>
        <v>10</v>
      </c>
      <c r="L514" s="61"/>
      <c r="M514" s="169">
        <v>10</v>
      </c>
      <c r="N514" s="169">
        <f t="shared" si="204"/>
        <v>10</v>
      </c>
      <c r="O514" s="169">
        <f t="shared" si="204"/>
        <v>10</v>
      </c>
      <c r="P514" s="169">
        <f t="shared" si="204"/>
        <v>10</v>
      </c>
    </row>
    <row r="515" spans="3:16" hidden="1" outlineLevel="1" x14ac:dyDescent="0.25">
      <c r="C515" s="168" t="s">
        <v>230</v>
      </c>
      <c r="D515" s="169"/>
      <c r="E515" s="169"/>
      <c r="F515" s="169"/>
      <c r="G515" s="169"/>
      <c r="H515" s="169">
        <v>0</v>
      </c>
      <c r="I515" s="169">
        <f t="shared" si="204"/>
        <v>0</v>
      </c>
      <c r="J515" s="169">
        <f t="shared" si="204"/>
        <v>0</v>
      </c>
      <c r="K515" s="169">
        <f t="shared" si="204"/>
        <v>0</v>
      </c>
      <c r="L515" s="61"/>
      <c r="M515" s="169">
        <v>0</v>
      </c>
      <c r="N515" s="169">
        <f t="shared" si="204"/>
        <v>0</v>
      </c>
      <c r="O515" s="169">
        <f t="shared" si="204"/>
        <v>0</v>
      </c>
      <c r="P515" s="169">
        <f t="shared" si="204"/>
        <v>0</v>
      </c>
    </row>
    <row r="516" spans="3:16" ht="30" hidden="1" outlineLevel="1" x14ac:dyDescent="0.25">
      <c r="C516" s="194" t="s">
        <v>231</v>
      </c>
      <c r="D516" s="169"/>
      <c r="E516" s="169"/>
      <c r="F516" s="169"/>
      <c r="G516" s="169"/>
      <c r="H516" s="169">
        <v>10</v>
      </c>
      <c r="I516" s="169">
        <f t="shared" si="204"/>
        <v>10</v>
      </c>
      <c r="J516" s="169">
        <f t="shared" si="204"/>
        <v>10</v>
      </c>
      <c r="K516" s="169">
        <f t="shared" si="204"/>
        <v>10</v>
      </c>
      <c r="L516" s="61"/>
      <c r="M516" s="169">
        <v>10</v>
      </c>
      <c r="N516" s="169">
        <f t="shared" si="204"/>
        <v>10</v>
      </c>
      <c r="O516" s="169">
        <f t="shared" si="204"/>
        <v>10</v>
      </c>
      <c r="P516" s="169">
        <f t="shared" si="204"/>
        <v>10</v>
      </c>
    </row>
    <row r="517" spans="3:16" ht="30" hidden="1" outlineLevel="1" x14ac:dyDescent="0.25">
      <c r="C517" s="194" t="s">
        <v>232</v>
      </c>
      <c r="D517" s="169"/>
      <c r="E517" s="169"/>
      <c r="F517" s="169"/>
      <c r="G517" s="169"/>
      <c r="H517" s="169">
        <v>0</v>
      </c>
      <c r="I517" s="169">
        <v>0</v>
      </c>
      <c r="J517" s="169">
        <v>0</v>
      </c>
      <c r="K517" s="169">
        <v>0</v>
      </c>
      <c r="L517" s="61"/>
      <c r="M517" s="169">
        <v>0</v>
      </c>
      <c r="N517" s="169">
        <v>0</v>
      </c>
      <c r="O517" s="169">
        <v>0</v>
      </c>
      <c r="P517" s="169">
        <v>0</v>
      </c>
    </row>
    <row r="518" spans="3:16" hidden="1" outlineLevel="1" x14ac:dyDescent="0.25">
      <c r="C518" s="170" t="s">
        <v>233</v>
      </c>
      <c r="D518" s="171"/>
      <c r="E518" s="171"/>
      <c r="F518" s="171"/>
      <c r="G518" s="171"/>
      <c r="H518" s="171"/>
      <c r="I518" s="171"/>
      <c r="J518" s="171"/>
      <c r="K518" s="171"/>
      <c r="L518" s="61"/>
      <c r="M518" s="171"/>
      <c r="N518" s="171"/>
      <c r="O518" s="171"/>
      <c r="P518" s="171"/>
    </row>
    <row r="519" spans="3:16" hidden="1" outlineLevel="1" x14ac:dyDescent="0.25">
      <c r="C519" s="168" t="s">
        <v>21</v>
      </c>
      <c r="D519" s="163">
        <f>D95</f>
        <v>0</v>
      </c>
      <c r="E519" s="163">
        <f t="shared" ref="E519:K519" si="205">E95</f>
        <v>0</v>
      </c>
      <c r="F519" s="163">
        <f t="shared" si="205"/>
        <v>0</v>
      </c>
      <c r="G519" s="163">
        <f t="shared" si="205"/>
        <v>0</v>
      </c>
      <c r="H519" s="163">
        <f t="shared" si="205"/>
        <v>43701.215999999993</v>
      </c>
      <c r="I519" s="163">
        <f t="shared" si="205"/>
        <v>50589.620172000003</v>
      </c>
      <c r="J519" s="163">
        <f t="shared" si="205"/>
        <v>58563.809051611519</v>
      </c>
      <c r="K519" s="163">
        <f t="shared" si="205"/>
        <v>67794.929453371791</v>
      </c>
      <c r="L519" s="61"/>
      <c r="M519" s="163">
        <f>M95</f>
        <v>581722.15225878195</v>
      </c>
      <c r="N519" s="163">
        <f t="shared" ref="N519:P519" si="206">N95</f>
        <v>1044689.4071211424</v>
      </c>
      <c r="O519" s="163">
        <f t="shared" si="206"/>
        <v>1876112.0805068123</v>
      </c>
      <c r="P519" s="163">
        <f t="shared" si="206"/>
        <v>3369227.748104698</v>
      </c>
    </row>
    <row r="520" spans="3:16" hidden="1" outlineLevel="1" x14ac:dyDescent="0.25">
      <c r="C520" s="168" t="s">
        <v>88</v>
      </c>
      <c r="D520" s="163">
        <f>IF($D$506="Bottom-up",D220,D189)</f>
        <v>0</v>
      </c>
      <c r="E520" s="163">
        <f t="shared" ref="E520:J520" si="207">IF($D$506="Bottom-up",E220,E189)</f>
        <v>0</v>
      </c>
      <c r="F520" s="163">
        <f t="shared" si="207"/>
        <v>0</v>
      </c>
      <c r="G520" s="163">
        <f t="shared" si="207"/>
        <v>0</v>
      </c>
      <c r="H520" s="163">
        <f t="shared" si="207"/>
        <v>2021.2962431999999</v>
      </c>
      <c r="I520" s="163">
        <f t="shared" si="207"/>
        <v>2339.9030635344002</v>
      </c>
      <c r="J520" s="163">
        <f t="shared" si="207"/>
        <v>2708.7302839240115</v>
      </c>
      <c r="K520" s="163">
        <f>IF($D$506="Bottom-up",K220,K189)</f>
        <v>3135.6938949275336</v>
      </c>
      <c r="L520" s="61"/>
      <c r="M520" s="163">
        <f>IF($D$506="Bottom-up",M220,M189)</f>
        <v>23670.021258815006</v>
      </c>
      <c r="N520" s="163">
        <f t="shared" ref="N520:P520" si="208">IF($D$506="Bottom-up",N220,N189)</f>
        <v>44208.275711310096</v>
      </c>
      <c r="O520" s="163">
        <f t="shared" si="208"/>
        <v>82567.380062634184</v>
      </c>
      <c r="P520" s="163">
        <f t="shared" si="208"/>
        <v>154210.31788089732</v>
      </c>
    </row>
    <row r="521" spans="3:16" hidden="1" outlineLevel="1" x14ac:dyDescent="0.25"/>
    <row r="522" spans="3:16" hidden="1" outlineLevel="1" x14ac:dyDescent="0.25"/>
    <row r="523" spans="3:16" ht="19.5" hidden="1" outlineLevel="1" x14ac:dyDescent="0.3">
      <c r="C523" s="2" t="s">
        <v>234</v>
      </c>
    </row>
    <row r="524" spans="3:16" hidden="1" outlineLevel="1" x14ac:dyDescent="0.25">
      <c r="C524" s="81"/>
      <c r="D524" s="500" t="s">
        <v>227</v>
      </c>
      <c r="E524" s="500"/>
      <c r="F524" s="500"/>
      <c r="G524" s="500"/>
      <c r="H524" s="500"/>
      <c r="I524" s="500"/>
      <c r="J524" s="500"/>
      <c r="K524" s="500"/>
      <c r="L524" s="172"/>
      <c r="M524" s="499" t="s">
        <v>228</v>
      </c>
      <c r="N524" s="499"/>
      <c r="O524" s="499"/>
      <c r="P524" s="499"/>
    </row>
    <row r="525" spans="3:16" hidden="1" outlineLevel="1" x14ac:dyDescent="0.25">
      <c r="C525" s="81"/>
      <c r="D525" s="500" t="s">
        <v>42</v>
      </c>
      <c r="E525" s="500"/>
      <c r="F525" s="500"/>
      <c r="G525" s="500"/>
      <c r="H525" s="500" t="s">
        <v>43</v>
      </c>
      <c r="I525" s="500"/>
      <c r="J525" s="500"/>
      <c r="K525" s="500"/>
      <c r="L525" s="172"/>
      <c r="M525" s="62" t="s">
        <v>44</v>
      </c>
      <c r="N525" s="62" t="s">
        <v>45</v>
      </c>
      <c r="O525" s="62" t="s">
        <v>46</v>
      </c>
      <c r="P525" s="62" t="s">
        <v>47</v>
      </c>
    </row>
    <row r="526" spans="3:16" hidden="1" outlineLevel="1" x14ac:dyDescent="0.25">
      <c r="C526" s="81"/>
      <c r="D526" s="77">
        <f>StartDate</f>
        <v>46023</v>
      </c>
      <c r="E526" s="77">
        <f>EDATE(D526,3)</f>
        <v>46113</v>
      </c>
      <c r="F526" s="77">
        <f t="shared" ref="F526:K526" si="209">EDATE(E526,3)</f>
        <v>46204</v>
      </c>
      <c r="G526" s="77">
        <f t="shared" si="209"/>
        <v>46296</v>
      </c>
      <c r="H526" s="77">
        <f t="shared" si="209"/>
        <v>46388</v>
      </c>
      <c r="I526" s="77">
        <f t="shared" si="209"/>
        <v>46478</v>
      </c>
      <c r="J526" s="77">
        <f t="shared" si="209"/>
        <v>46569</v>
      </c>
      <c r="K526" s="77">
        <f t="shared" si="209"/>
        <v>46661</v>
      </c>
      <c r="L526" s="172"/>
      <c r="M526" s="77">
        <f>EDATE(K526,3)</f>
        <v>46753</v>
      </c>
      <c r="N526" s="77">
        <f t="shared" ref="N526:P526" si="210">EDATE(M526,12)</f>
        <v>47119</v>
      </c>
      <c r="O526" s="77">
        <f t="shared" si="210"/>
        <v>47484</v>
      </c>
      <c r="P526" s="77">
        <f t="shared" si="210"/>
        <v>47849</v>
      </c>
    </row>
    <row r="527" spans="3:16" hidden="1" outlineLevel="1" x14ac:dyDescent="0.25">
      <c r="C527" s="170" t="s">
        <v>235</v>
      </c>
      <c r="D527" s="171"/>
      <c r="E527" s="171"/>
      <c r="F527" s="171"/>
      <c r="G527" s="171"/>
      <c r="H527" s="171"/>
      <c r="I527" s="171"/>
      <c r="J527" s="171"/>
      <c r="K527" s="171"/>
      <c r="L527" s="172"/>
      <c r="M527" s="171"/>
      <c r="N527" s="171"/>
      <c r="O527" s="171"/>
      <c r="P527" s="171"/>
    </row>
    <row r="528" spans="3:16" hidden="1" outlineLevel="1" x14ac:dyDescent="0.25">
      <c r="C528" s="173" t="s">
        <v>236</v>
      </c>
      <c r="D528" s="163">
        <f t="shared" ref="D528:G529" si="211">D519*D514/(365/4)</f>
        <v>0</v>
      </c>
      <c r="E528" s="163">
        <f t="shared" si="211"/>
        <v>0</v>
      </c>
      <c r="F528" s="163">
        <f t="shared" si="211"/>
        <v>0</v>
      </c>
      <c r="G528" s="163">
        <f t="shared" si="211"/>
        <v>0</v>
      </c>
      <c r="H528" s="163">
        <f>H519*H514/(365/4)</f>
        <v>4789.1743561643825</v>
      </c>
      <c r="I528" s="163">
        <f t="shared" ref="I528:K529" si="212">I519*I514/(365/4)</f>
        <v>5544.0679640547951</v>
      </c>
      <c r="J528" s="163">
        <f t="shared" si="212"/>
        <v>6417.9516768889334</v>
      </c>
      <c r="K528" s="163">
        <f t="shared" si="212"/>
        <v>7429.5813099585521</v>
      </c>
      <c r="L528" s="172"/>
      <c r="M528" s="163">
        <f t="shared" ref="M528:P529" si="213">M519*M514/365</f>
        <v>15937.593212569367</v>
      </c>
      <c r="N528" s="163">
        <f t="shared" si="213"/>
        <v>28621.627592360066</v>
      </c>
      <c r="O528" s="163">
        <f t="shared" si="213"/>
        <v>51400.330972789379</v>
      </c>
      <c r="P528" s="163">
        <f t="shared" si="213"/>
        <v>92307.609537115015</v>
      </c>
    </row>
    <row r="529" spans="3:16" hidden="1" outlineLevel="1" x14ac:dyDescent="0.25">
      <c r="C529" s="173" t="s">
        <v>237</v>
      </c>
      <c r="D529" s="163">
        <f t="shared" si="211"/>
        <v>0</v>
      </c>
      <c r="E529" s="163">
        <f t="shared" si="211"/>
        <v>0</v>
      </c>
      <c r="F529" s="163">
        <f t="shared" si="211"/>
        <v>0</v>
      </c>
      <c r="G529" s="163">
        <f t="shared" si="211"/>
        <v>0</v>
      </c>
      <c r="H529" s="163">
        <f>H520*H515/(365/4)</f>
        <v>0</v>
      </c>
      <c r="I529" s="163">
        <f t="shared" si="212"/>
        <v>0</v>
      </c>
      <c r="J529" s="163">
        <f t="shared" si="212"/>
        <v>0</v>
      </c>
      <c r="K529" s="163">
        <f t="shared" si="212"/>
        <v>0</v>
      </c>
      <c r="L529" s="172"/>
      <c r="M529" s="163">
        <f t="shared" si="213"/>
        <v>0</v>
      </c>
      <c r="N529" s="163">
        <f t="shared" si="213"/>
        <v>0</v>
      </c>
      <c r="O529" s="163">
        <f t="shared" si="213"/>
        <v>0</v>
      </c>
      <c r="P529" s="163">
        <f t="shared" si="213"/>
        <v>0</v>
      </c>
    </row>
    <row r="530" spans="3:16" hidden="1" outlineLevel="1" x14ac:dyDescent="0.25">
      <c r="C530" s="78" t="s">
        <v>75</v>
      </c>
      <c r="D530" s="110">
        <f t="shared" ref="D530" si="214">SUM(D528:D529)</f>
        <v>0</v>
      </c>
      <c r="E530" s="110">
        <f t="shared" ref="E530:K530" si="215">SUM(E528:E529)</f>
        <v>0</v>
      </c>
      <c r="F530" s="110">
        <f t="shared" si="215"/>
        <v>0</v>
      </c>
      <c r="G530" s="110">
        <f t="shared" si="215"/>
        <v>0</v>
      </c>
      <c r="H530" s="110">
        <f t="shared" si="215"/>
        <v>4789.1743561643825</v>
      </c>
      <c r="I530" s="110">
        <f t="shared" si="215"/>
        <v>5544.0679640547951</v>
      </c>
      <c r="J530" s="110">
        <f t="shared" si="215"/>
        <v>6417.9516768889334</v>
      </c>
      <c r="K530" s="110">
        <f t="shared" si="215"/>
        <v>7429.5813099585521</v>
      </c>
      <c r="L530" s="172"/>
      <c r="M530" s="110">
        <f t="shared" ref="M530:P530" si="216">SUM(M528:M529)</f>
        <v>15937.593212569367</v>
      </c>
      <c r="N530" s="110">
        <f t="shared" si="216"/>
        <v>28621.627592360066</v>
      </c>
      <c r="O530" s="110">
        <f t="shared" si="216"/>
        <v>51400.330972789379</v>
      </c>
      <c r="P530" s="110">
        <f t="shared" si="216"/>
        <v>92307.609537115015</v>
      </c>
    </row>
    <row r="531" spans="3:16" hidden="1" outlineLevel="1" x14ac:dyDescent="0.25">
      <c r="C531" s="78"/>
      <c r="D531" s="110"/>
      <c r="E531" s="110"/>
      <c r="F531" s="110"/>
      <c r="G531" s="110"/>
      <c r="H531" s="110"/>
      <c r="I531" s="110"/>
      <c r="J531" s="110"/>
      <c r="K531" s="110"/>
      <c r="L531" s="172"/>
      <c r="M531" s="110"/>
      <c r="N531" s="110"/>
      <c r="O531" s="110"/>
      <c r="P531" s="110"/>
    </row>
    <row r="532" spans="3:16" hidden="1" outlineLevel="1" x14ac:dyDescent="0.25">
      <c r="C532" s="170" t="s">
        <v>238</v>
      </c>
      <c r="D532" s="171"/>
      <c r="E532" s="171"/>
      <c r="F532" s="171"/>
      <c r="G532" s="171"/>
      <c r="H532" s="171"/>
      <c r="I532" s="171"/>
      <c r="J532" s="171"/>
      <c r="K532" s="171"/>
      <c r="L532" s="172"/>
      <c r="M532" s="171"/>
      <c r="N532" s="171"/>
      <c r="O532" s="171"/>
      <c r="P532" s="171"/>
    </row>
    <row r="533" spans="3:16" hidden="1" outlineLevel="1" x14ac:dyDescent="0.25">
      <c r="C533" s="173" t="s">
        <v>239</v>
      </c>
      <c r="D533" s="163">
        <f t="shared" ref="D533:G533" si="217">D520*D516/(365/4)</f>
        <v>0</v>
      </c>
      <c r="E533" s="163">
        <f t="shared" si="217"/>
        <v>0</v>
      </c>
      <c r="F533" s="163">
        <f t="shared" si="217"/>
        <v>0</v>
      </c>
      <c r="G533" s="163">
        <f t="shared" si="217"/>
        <v>0</v>
      </c>
      <c r="H533" s="163">
        <f>H520*H516/(365/4)</f>
        <v>221.5119170630137</v>
      </c>
      <c r="I533" s="163">
        <f t="shared" ref="I533:K533" si="218">I520*I516/(365/4)</f>
        <v>256.42773299007126</v>
      </c>
      <c r="J533" s="163">
        <f t="shared" si="218"/>
        <v>296.84715440263136</v>
      </c>
      <c r="K533" s="163">
        <f t="shared" si="218"/>
        <v>343.63768711534613</v>
      </c>
      <c r="L533" s="172"/>
      <c r="M533" s="163">
        <f>M520*M516/365</f>
        <v>648.49373311821932</v>
      </c>
      <c r="N533" s="163">
        <f>N520*N516/365</f>
        <v>1211.185635926304</v>
      </c>
      <c r="O533" s="163">
        <f>O520*O516/365</f>
        <v>2262.1200017160049</v>
      </c>
      <c r="P533" s="163">
        <f>P520*P516/365</f>
        <v>4224.940215914995</v>
      </c>
    </row>
    <row r="534" spans="3:16" hidden="1" outlineLevel="1" x14ac:dyDescent="0.25">
      <c r="C534" s="78" t="s">
        <v>75</v>
      </c>
      <c r="D534" s="110">
        <f t="shared" ref="D534:P534" si="219">SUM(D533:D533)</f>
        <v>0</v>
      </c>
      <c r="E534" s="110">
        <f t="shared" si="219"/>
        <v>0</v>
      </c>
      <c r="F534" s="110">
        <f t="shared" si="219"/>
        <v>0</v>
      </c>
      <c r="G534" s="110">
        <f t="shared" si="219"/>
        <v>0</v>
      </c>
      <c r="H534" s="110">
        <f t="shared" si="219"/>
        <v>221.5119170630137</v>
      </c>
      <c r="I534" s="110">
        <f t="shared" si="219"/>
        <v>256.42773299007126</v>
      </c>
      <c r="J534" s="110">
        <f t="shared" si="219"/>
        <v>296.84715440263136</v>
      </c>
      <c r="K534" s="110">
        <f t="shared" si="219"/>
        <v>343.63768711534613</v>
      </c>
      <c r="L534" s="172"/>
      <c r="M534" s="110">
        <f t="shared" si="219"/>
        <v>648.49373311821932</v>
      </c>
      <c r="N534" s="110">
        <f t="shared" si="219"/>
        <v>1211.185635926304</v>
      </c>
      <c r="O534" s="110">
        <f t="shared" si="219"/>
        <v>2262.1200017160049</v>
      </c>
      <c r="P534" s="110">
        <f t="shared" si="219"/>
        <v>4224.940215914995</v>
      </c>
    </row>
    <row r="535" spans="3:16" hidden="1" outlineLevel="1" x14ac:dyDescent="0.25">
      <c r="C535" s="81"/>
      <c r="D535" s="81"/>
      <c r="E535" s="81"/>
      <c r="F535" s="81"/>
      <c r="G535" s="81"/>
      <c r="H535" s="81"/>
      <c r="I535" s="81"/>
      <c r="J535" s="81"/>
      <c r="K535" s="81"/>
      <c r="L535" s="172"/>
      <c r="M535" s="81"/>
      <c r="N535" s="81"/>
      <c r="O535" s="81"/>
      <c r="P535" s="81"/>
    </row>
    <row r="536" spans="3:16" hidden="1" outlineLevel="1" x14ac:dyDescent="0.25">
      <c r="C536" s="78" t="s">
        <v>240</v>
      </c>
      <c r="D536" s="110">
        <f t="shared" ref="D536:P536" si="220">D530-D534</f>
        <v>0</v>
      </c>
      <c r="E536" s="110">
        <f t="shared" si="220"/>
        <v>0</v>
      </c>
      <c r="F536" s="110">
        <f t="shared" si="220"/>
        <v>0</v>
      </c>
      <c r="G536" s="110">
        <f t="shared" si="220"/>
        <v>0</v>
      </c>
      <c r="H536" s="110">
        <f t="shared" si="220"/>
        <v>4567.6624391013684</v>
      </c>
      <c r="I536" s="110">
        <f t="shared" si="220"/>
        <v>5287.6402310647236</v>
      </c>
      <c r="J536" s="110">
        <f t="shared" si="220"/>
        <v>6121.1045224863019</v>
      </c>
      <c r="K536" s="110">
        <f t="shared" si="220"/>
        <v>7085.943622843206</v>
      </c>
      <c r="L536" s="172"/>
      <c r="M536" s="110">
        <f t="shared" si="220"/>
        <v>15289.099479451148</v>
      </c>
      <c r="N536" s="110">
        <f t="shared" si="220"/>
        <v>27410.441956433762</v>
      </c>
      <c r="O536" s="110">
        <f t="shared" si="220"/>
        <v>49138.210971073371</v>
      </c>
      <c r="P536" s="110">
        <f t="shared" si="220"/>
        <v>88082.669321200025</v>
      </c>
    </row>
    <row r="537" spans="3:16" hidden="1" outlineLevel="1" x14ac:dyDescent="0.25">
      <c r="C537" s="78" t="s">
        <v>241</v>
      </c>
      <c r="D537" s="110">
        <f>D536</f>
        <v>0</v>
      </c>
      <c r="E537" s="110">
        <f>D536-E536</f>
        <v>0</v>
      </c>
      <c r="F537" s="110">
        <f t="shared" ref="F537:P537" si="221">E536-F536</f>
        <v>0</v>
      </c>
      <c r="G537" s="110">
        <f t="shared" si="221"/>
        <v>0</v>
      </c>
      <c r="H537" s="110">
        <f>G536-H536</f>
        <v>-4567.6624391013684</v>
      </c>
      <c r="I537" s="110">
        <f>H536-I536</f>
        <v>-719.97779196335523</v>
      </c>
      <c r="J537" s="110">
        <f t="shared" si="221"/>
        <v>-833.46429142157831</v>
      </c>
      <c r="K537" s="110">
        <f t="shared" si="221"/>
        <v>-964.83910035690405</v>
      </c>
      <c r="L537" s="172"/>
      <c r="M537" s="110">
        <f>K536-M536</f>
        <v>-8203.155856607942</v>
      </c>
      <c r="N537" s="110">
        <f t="shared" si="221"/>
        <v>-12121.342476982614</v>
      </c>
      <c r="O537" s="110">
        <f t="shared" si="221"/>
        <v>-21727.769014639609</v>
      </c>
      <c r="P537" s="110">
        <f t="shared" si="221"/>
        <v>-38944.458350126653</v>
      </c>
    </row>
    <row r="538" spans="3:16" hidden="1" outlineLevel="1" x14ac:dyDescent="0.25">
      <c r="C538" s="81"/>
      <c r="D538" s="81"/>
      <c r="E538" s="81"/>
      <c r="F538" s="81"/>
      <c r="G538" s="81"/>
      <c r="H538" s="81"/>
      <c r="I538" s="81"/>
      <c r="J538" s="81"/>
      <c r="K538" s="81"/>
      <c r="L538" s="172"/>
      <c r="M538" s="81"/>
      <c r="N538" s="81"/>
      <c r="O538" s="81"/>
      <c r="P538" s="81"/>
    </row>
    <row r="539" spans="3:16" hidden="1" outlineLevel="1" x14ac:dyDescent="0.25">
      <c r="C539" s="170" t="s">
        <v>242</v>
      </c>
      <c r="D539" s="171"/>
      <c r="E539" s="171"/>
      <c r="F539" s="171"/>
      <c r="G539" s="171"/>
      <c r="H539" s="171"/>
      <c r="I539" s="171"/>
      <c r="J539" s="171"/>
      <c r="K539" s="171"/>
      <c r="L539" s="172"/>
      <c r="M539" s="171"/>
      <c r="N539" s="171"/>
      <c r="O539" s="171"/>
      <c r="P539" s="171"/>
    </row>
    <row r="540" spans="3:16" hidden="1" outlineLevel="1" x14ac:dyDescent="0.25">
      <c r="C540" s="174" t="s">
        <v>236</v>
      </c>
      <c r="D540" s="163">
        <f>D528</f>
        <v>0</v>
      </c>
      <c r="E540" s="163">
        <f t="shared" ref="E540:P541" si="222">D528-E528</f>
        <v>0</v>
      </c>
      <c r="F540" s="163">
        <f t="shared" si="222"/>
        <v>0</v>
      </c>
      <c r="G540" s="163">
        <f t="shared" si="222"/>
        <v>0</v>
      </c>
      <c r="H540" s="163">
        <f>G528-H528</f>
        <v>-4789.1743561643825</v>
      </c>
      <c r="I540" s="163">
        <f t="shared" si="222"/>
        <v>-754.89360789041257</v>
      </c>
      <c r="J540" s="163">
        <f t="shared" si="222"/>
        <v>-873.88371283413835</v>
      </c>
      <c r="K540" s="163">
        <f t="shared" si="222"/>
        <v>-1011.6296330696186</v>
      </c>
      <c r="L540" s="172"/>
      <c r="M540" s="163">
        <f>K528-M528</f>
        <v>-8508.011902610815</v>
      </c>
      <c r="N540" s="163">
        <f t="shared" si="222"/>
        <v>-12684.034379790699</v>
      </c>
      <c r="O540" s="163">
        <f t="shared" si="222"/>
        <v>-22778.703380429313</v>
      </c>
      <c r="P540" s="163">
        <f t="shared" si="222"/>
        <v>-40907.278564325636</v>
      </c>
    </row>
    <row r="541" spans="3:16" hidden="1" outlineLevel="1" x14ac:dyDescent="0.25">
      <c r="C541" s="174" t="s">
        <v>237</v>
      </c>
      <c r="D541" s="163">
        <f>D529</f>
        <v>0</v>
      </c>
      <c r="E541" s="163">
        <f t="shared" si="222"/>
        <v>0</v>
      </c>
      <c r="F541" s="163">
        <f t="shared" si="222"/>
        <v>0</v>
      </c>
      <c r="G541" s="163">
        <f t="shared" si="222"/>
        <v>0</v>
      </c>
      <c r="H541" s="163">
        <f t="shared" si="222"/>
        <v>0</v>
      </c>
      <c r="I541" s="163">
        <f t="shared" si="222"/>
        <v>0</v>
      </c>
      <c r="J541" s="163">
        <f t="shared" si="222"/>
        <v>0</v>
      </c>
      <c r="K541" s="163">
        <f t="shared" si="222"/>
        <v>0</v>
      </c>
      <c r="L541" s="172"/>
      <c r="M541" s="163">
        <f>K529-M529</f>
        <v>0</v>
      </c>
      <c r="N541" s="163">
        <f t="shared" si="222"/>
        <v>0</v>
      </c>
      <c r="O541" s="163">
        <f t="shared" si="222"/>
        <v>0</v>
      </c>
      <c r="P541" s="163">
        <f t="shared" si="222"/>
        <v>0</v>
      </c>
    </row>
    <row r="542" spans="3:16" ht="15.75" hidden="1" outlineLevel="1" thickBot="1" x14ac:dyDescent="0.3">
      <c r="C542" s="175" t="s">
        <v>239</v>
      </c>
      <c r="D542" s="164">
        <f>D533</f>
        <v>0</v>
      </c>
      <c r="E542" s="164">
        <f t="shared" ref="E542:P542" si="223">E533-D533</f>
        <v>0</v>
      </c>
      <c r="F542" s="164">
        <f t="shared" si="223"/>
        <v>0</v>
      </c>
      <c r="G542" s="164">
        <f t="shared" si="223"/>
        <v>0</v>
      </c>
      <c r="H542" s="164">
        <f t="shared" si="223"/>
        <v>221.5119170630137</v>
      </c>
      <c r="I542" s="164">
        <f t="shared" si="223"/>
        <v>34.915815927057565</v>
      </c>
      <c r="J542" s="164">
        <f t="shared" si="223"/>
        <v>40.419421412560098</v>
      </c>
      <c r="K542" s="164">
        <f t="shared" si="223"/>
        <v>46.790532712714764</v>
      </c>
      <c r="L542" s="176"/>
      <c r="M542" s="164">
        <f>M533-K533</f>
        <v>304.8560460028732</v>
      </c>
      <c r="N542" s="164">
        <f t="shared" si="223"/>
        <v>562.69190280808471</v>
      </c>
      <c r="O542" s="164">
        <f t="shared" si="223"/>
        <v>1050.9343657897009</v>
      </c>
      <c r="P542" s="164">
        <f t="shared" si="223"/>
        <v>1962.82021419899</v>
      </c>
    </row>
    <row r="543" spans="3:16" ht="27" hidden="1" outlineLevel="1" thickBot="1" x14ac:dyDescent="0.3">
      <c r="C543" s="232" t="s">
        <v>243</v>
      </c>
      <c r="D543" s="114">
        <f t="shared" ref="D543:P543" si="224">SUM(D540:D542)</f>
        <v>0</v>
      </c>
      <c r="E543" s="114">
        <f t="shared" si="224"/>
        <v>0</v>
      </c>
      <c r="F543" s="114">
        <f t="shared" si="224"/>
        <v>0</v>
      </c>
      <c r="G543" s="114">
        <f t="shared" si="224"/>
        <v>0</v>
      </c>
      <c r="H543" s="114">
        <f t="shared" si="224"/>
        <v>-4567.6624391013684</v>
      </c>
      <c r="I543" s="114">
        <f t="shared" si="224"/>
        <v>-719.977791963355</v>
      </c>
      <c r="J543" s="114">
        <f t="shared" si="224"/>
        <v>-833.46429142157831</v>
      </c>
      <c r="K543" s="114">
        <f t="shared" si="224"/>
        <v>-964.83910035690383</v>
      </c>
      <c r="L543" s="177"/>
      <c r="M543" s="114">
        <f t="shared" si="224"/>
        <v>-8203.155856607942</v>
      </c>
      <c r="N543" s="114">
        <f t="shared" si="224"/>
        <v>-12121.342476982614</v>
      </c>
      <c r="O543" s="114">
        <f t="shared" si="224"/>
        <v>-21727.769014639613</v>
      </c>
      <c r="P543" s="115">
        <f t="shared" si="224"/>
        <v>-38944.458350126646</v>
      </c>
    </row>
    <row r="544" spans="3:16" hidden="1" outlineLevel="1" x14ac:dyDescent="0.25"/>
    <row r="545" spans="1:17" collapsed="1" x14ac:dyDescent="0.25">
      <c r="C545" s="226"/>
    </row>
    <row r="546" spans="1:17" ht="19.5" x14ac:dyDescent="0.3">
      <c r="A546" s="358" t="s">
        <v>244</v>
      </c>
      <c r="B546" s="363" t="s">
        <v>245</v>
      </c>
      <c r="C546" s="226"/>
    </row>
    <row r="547" spans="1:17" ht="24.75" hidden="1" outlineLevel="1" thickBot="1" x14ac:dyDescent="0.45">
      <c r="C547" s="3" t="s">
        <v>246</v>
      </c>
      <c r="D547" s="4"/>
      <c r="E547" s="4"/>
      <c r="F547" s="4"/>
      <c r="G547" s="4"/>
      <c r="H547" s="4"/>
      <c r="I547" s="4"/>
      <c r="J547" s="4"/>
      <c r="K547" s="4"/>
      <c r="L547" s="4"/>
      <c r="M547" s="4"/>
      <c r="N547" s="4"/>
      <c r="O547" s="4"/>
      <c r="P547" s="4"/>
    </row>
    <row r="548" spans="1:17" ht="15.75" hidden="1" outlineLevel="1" thickTop="1" x14ac:dyDescent="0.25">
      <c r="C548" s="9" t="str">
        <f>"Financing Income and Costs ("&amp;SubHeader&amp;")"</f>
        <v>Financing Income and Costs (EUR)</v>
      </c>
      <c r="E548" s="11"/>
      <c r="F548" s="11"/>
    </row>
    <row r="549" spans="1:17" hidden="1" outlineLevel="1" x14ac:dyDescent="0.25">
      <c r="D549" s="14"/>
      <c r="E549" s="15"/>
      <c r="F549" s="15"/>
      <c r="G549" s="15"/>
      <c r="H549" s="15"/>
      <c r="I549" s="15"/>
      <c r="J549" s="16"/>
      <c r="K549" s="16"/>
      <c r="L549" s="16"/>
      <c r="M549" s="16"/>
      <c r="N549" s="16"/>
      <c r="O549" s="16"/>
      <c r="P549" s="16"/>
    </row>
    <row r="550" spans="1:17" ht="20.25" hidden="1" outlineLevel="1" thickBot="1" x14ac:dyDescent="0.35">
      <c r="C550" s="1" t="s">
        <v>247</v>
      </c>
      <c r="D550" s="14"/>
      <c r="E550" s="15"/>
      <c r="F550" s="532" t="s">
        <v>248</v>
      </c>
      <c r="G550" s="532"/>
      <c r="H550" s="15"/>
      <c r="I550" s="15"/>
      <c r="J550" s="16"/>
      <c r="K550" s="16"/>
      <c r="L550" s="16"/>
      <c r="M550" s="16"/>
      <c r="N550" s="16"/>
      <c r="O550" s="16"/>
      <c r="P550" s="16"/>
    </row>
    <row r="551" spans="1:17" ht="32.25" hidden="1" outlineLevel="1" thickTop="1" x14ac:dyDescent="0.25">
      <c r="C551" s="18"/>
      <c r="D551" s="287" t="s">
        <v>249</v>
      </c>
      <c r="E551" s="289" t="s">
        <v>250</v>
      </c>
      <c r="F551" s="290" t="s">
        <v>251</v>
      </c>
      <c r="G551" s="290" t="s">
        <v>252</v>
      </c>
      <c r="H551" s="533" t="s">
        <v>253</v>
      </c>
      <c r="I551" s="533"/>
      <c r="J551" s="533"/>
      <c r="K551" s="533"/>
      <c r="L551" s="18"/>
      <c r="M551" s="18"/>
      <c r="N551" s="18"/>
      <c r="O551" s="15"/>
      <c r="P551" s="15"/>
      <c r="Q551" s="18"/>
    </row>
    <row r="552" spans="1:17" hidden="1" outlineLevel="1" x14ac:dyDescent="0.25">
      <c r="C552" s="81" t="s">
        <v>254</v>
      </c>
      <c r="D552" s="288">
        <v>100000</v>
      </c>
      <c r="E552" s="295">
        <f>D526</f>
        <v>46023</v>
      </c>
      <c r="F552" s="325"/>
      <c r="G552" s="314">
        <v>0.09</v>
      </c>
      <c r="H552" s="534" t="s">
        <v>255</v>
      </c>
      <c r="I552" s="534"/>
      <c r="J552" s="534"/>
      <c r="K552" s="534"/>
      <c r="L552" s="53"/>
      <c r="O552" s="15"/>
      <c r="P552" s="15"/>
    </row>
    <row r="553" spans="1:17" hidden="1" outlineLevel="1" x14ac:dyDescent="0.25">
      <c r="C553" s="81" t="s">
        <v>256</v>
      </c>
      <c r="D553" s="288">
        <v>300000</v>
      </c>
      <c r="E553" s="295">
        <f>H526</f>
        <v>46388</v>
      </c>
      <c r="F553" s="325"/>
      <c r="G553" s="314">
        <v>0.12</v>
      </c>
      <c r="H553" s="534" t="s">
        <v>257</v>
      </c>
      <c r="I553" s="534"/>
      <c r="J553" s="534"/>
      <c r="K553" s="534"/>
      <c r="L553" s="53"/>
      <c r="O553" s="15"/>
      <c r="P553" s="15"/>
    </row>
    <row r="554" spans="1:17" hidden="1" outlineLevel="1" x14ac:dyDescent="0.25">
      <c r="C554" s="81" t="s">
        <v>258</v>
      </c>
      <c r="D554" s="288">
        <v>400000</v>
      </c>
      <c r="E554" s="295">
        <f>M526</f>
        <v>46753</v>
      </c>
      <c r="F554" s="325">
        <v>7</v>
      </c>
      <c r="G554" s="314"/>
      <c r="H554" s="534" t="s">
        <v>259</v>
      </c>
      <c r="I554" s="534"/>
      <c r="J554" s="534"/>
      <c r="K554" s="534"/>
      <c r="L554" s="53"/>
      <c r="O554" s="15"/>
      <c r="P554" s="15"/>
    </row>
    <row r="555" spans="1:17" hidden="1" outlineLevel="1" x14ac:dyDescent="0.25">
      <c r="C555" s="81" t="s">
        <v>260</v>
      </c>
      <c r="D555" s="288">
        <v>200000</v>
      </c>
      <c r="E555" s="295">
        <f>N526</f>
        <v>47119</v>
      </c>
      <c r="F555" s="325">
        <v>14</v>
      </c>
      <c r="G555" s="314"/>
      <c r="H555" s="534" t="s">
        <v>261</v>
      </c>
      <c r="I555" s="534"/>
      <c r="J555" s="534"/>
      <c r="K555" s="534"/>
      <c r="L555" s="53"/>
      <c r="O555" s="15"/>
      <c r="P555" s="15"/>
    </row>
    <row r="556" spans="1:17" hidden="1" outlineLevel="1" x14ac:dyDescent="0.25">
      <c r="C556" s="81" t="s">
        <v>262</v>
      </c>
      <c r="D556" s="288">
        <v>100000</v>
      </c>
      <c r="E556" s="295">
        <f>O526</f>
        <v>47484</v>
      </c>
      <c r="F556" s="325">
        <v>20</v>
      </c>
      <c r="G556" s="314"/>
      <c r="H556" s="534" t="s">
        <v>263</v>
      </c>
      <c r="I556" s="534"/>
      <c r="J556" s="534"/>
      <c r="K556" s="534"/>
      <c r="L556" s="53"/>
      <c r="O556" s="15"/>
      <c r="P556" s="15"/>
    </row>
    <row r="557" spans="1:17" hidden="1" outlineLevel="1" x14ac:dyDescent="0.25">
      <c r="C557" s="81"/>
      <c r="D557" s="296"/>
      <c r="E557" s="295"/>
      <c r="F557" s="291"/>
      <c r="G557" s="292"/>
      <c r="H557" s="529"/>
      <c r="I557" s="530"/>
      <c r="J557" s="530"/>
      <c r="K557" s="531"/>
      <c r="O557" s="15"/>
      <c r="P557" s="15"/>
    </row>
    <row r="558" spans="1:17" hidden="1" outlineLevel="1" x14ac:dyDescent="0.25">
      <c r="C558" s="81"/>
      <c r="D558" s="296"/>
      <c r="E558" s="295"/>
      <c r="F558" s="291"/>
      <c r="G558" s="292"/>
      <c r="H558" s="529"/>
      <c r="I558" s="530"/>
      <c r="J558" s="530"/>
      <c r="K558" s="531"/>
      <c r="O558" s="15"/>
      <c r="P558" s="15"/>
    </row>
    <row r="559" spans="1:17" hidden="1" outlineLevel="1" x14ac:dyDescent="0.25">
      <c r="C559" s="81"/>
      <c r="D559" s="297"/>
      <c r="E559" s="295"/>
      <c r="F559" s="291"/>
      <c r="G559" s="292"/>
      <c r="H559" s="529"/>
      <c r="I559" s="530"/>
      <c r="J559" s="530"/>
      <c r="K559" s="531"/>
      <c r="O559" s="15"/>
      <c r="P559" s="15"/>
    </row>
    <row r="560" spans="1:17" hidden="1" outlineLevel="1" x14ac:dyDescent="0.25">
      <c r="C560" s="123"/>
      <c r="D560" s="123"/>
      <c r="E560" s="123"/>
      <c r="F560" s="123"/>
      <c r="G560" s="123"/>
      <c r="H560" s="15"/>
      <c r="I560" s="15"/>
      <c r="J560" s="15"/>
      <c r="K560" s="15"/>
      <c r="L560" s="15"/>
      <c r="M560" s="15"/>
      <c r="N560" s="15"/>
      <c r="O560" s="15"/>
      <c r="P560" s="15"/>
    </row>
    <row r="561" spans="3:17" hidden="1" outlineLevel="1" x14ac:dyDescent="0.25">
      <c r="D561" s="14"/>
      <c r="E561" s="15"/>
      <c r="F561" s="15"/>
      <c r="G561" s="15"/>
      <c r="H561" s="15"/>
      <c r="I561" s="15"/>
      <c r="J561" s="16"/>
      <c r="K561" s="16"/>
      <c r="L561" s="16"/>
      <c r="M561" s="16"/>
      <c r="N561" s="16"/>
      <c r="O561" s="16"/>
      <c r="P561" s="16"/>
    </row>
    <row r="562" spans="3:17" ht="20.25" hidden="1" outlineLevel="1" thickBot="1" x14ac:dyDescent="0.35">
      <c r="C562" s="1" t="s">
        <v>264</v>
      </c>
      <c r="D562" s="14"/>
      <c r="E562" s="15"/>
      <c r="F562" s="15"/>
      <c r="G562" s="15"/>
      <c r="H562" s="15"/>
      <c r="I562" s="15"/>
      <c r="J562" s="16"/>
      <c r="K562" s="15"/>
      <c r="L562" s="15"/>
      <c r="M562" s="15"/>
      <c r="N562" s="16"/>
      <c r="O562" s="16"/>
      <c r="P562" s="16"/>
    </row>
    <row r="563" spans="3:17" ht="32.25" hidden="1" outlineLevel="1" thickTop="1" x14ac:dyDescent="0.25">
      <c r="C563" s="18"/>
      <c r="D563" s="180" t="s">
        <v>265</v>
      </c>
      <c r="E563" s="149" t="s">
        <v>266</v>
      </c>
      <c r="F563" s="149" t="s">
        <v>267</v>
      </c>
      <c r="G563" s="149" t="s">
        <v>268</v>
      </c>
      <c r="H563" s="535" t="s">
        <v>269</v>
      </c>
      <c r="I563" s="536"/>
      <c r="J563" s="536"/>
      <c r="K563" s="536"/>
      <c r="L563" s="536"/>
      <c r="M563" s="537"/>
      <c r="N563" s="16"/>
      <c r="O563" s="16"/>
      <c r="P563" s="16"/>
    </row>
    <row r="564" spans="3:17" hidden="1" outlineLevel="1" x14ac:dyDescent="0.25">
      <c r="C564" s="81" t="s">
        <v>270</v>
      </c>
      <c r="D564" s="68"/>
      <c r="E564" s="68"/>
      <c r="F564" s="181"/>
      <c r="G564" s="68"/>
      <c r="H564" s="506"/>
      <c r="I564" s="506"/>
      <c r="J564" s="506"/>
      <c r="K564" s="506"/>
      <c r="L564" s="506"/>
      <c r="M564" s="506"/>
      <c r="N564" s="16"/>
      <c r="O564" s="16"/>
      <c r="P564" s="16"/>
    </row>
    <row r="565" spans="3:17" hidden="1" outlineLevel="1" x14ac:dyDescent="0.25">
      <c r="C565" s="81" t="s">
        <v>271</v>
      </c>
      <c r="D565" s="68"/>
      <c r="E565" s="68"/>
      <c r="F565" s="181"/>
      <c r="G565" s="68"/>
      <c r="H565" s="506"/>
      <c r="I565" s="506"/>
      <c r="J565" s="506"/>
      <c r="K565" s="506"/>
      <c r="L565" s="506"/>
      <c r="M565" s="506"/>
      <c r="N565" s="16"/>
      <c r="O565" s="16"/>
      <c r="P565" s="16"/>
    </row>
    <row r="566" spans="3:17" hidden="1" outlineLevel="1" x14ac:dyDescent="0.25">
      <c r="C566" s="81" t="s">
        <v>272</v>
      </c>
      <c r="D566" s="68"/>
      <c r="E566" s="68"/>
      <c r="F566" s="181"/>
      <c r="G566" s="68"/>
      <c r="H566" s="506"/>
      <c r="I566" s="506"/>
      <c r="J566" s="506"/>
      <c r="K566" s="506"/>
      <c r="L566" s="506"/>
      <c r="M566" s="506"/>
      <c r="N566" s="16"/>
      <c r="O566" s="16"/>
      <c r="P566" s="16"/>
    </row>
    <row r="567" spans="3:17" hidden="1" outlineLevel="1" x14ac:dyDescent="0.25">
      <c r="C567" s="81" t="s">
        <v>273</v>
      </c>
      <c r="D567" s="68"/>
      <c r="E567" s="68"/>
      <c r="F567" s="181"/>
      <c r="G567" s="68"/>
      <c r="H567" s="506"/>
      <c r="I567" s="506"/>
      <c r="J567" s="506"/>
      <c r="K567" s="506"/>
      <c r="L567" s="506"/>
      <c r="M567" s="506"/>
      <c r="N567" s="16"/>
      <c r="O567" s="16"/>
      <c r="P567" s="16"/>
    </row>
    <row r="568" spans="3:17" hidden="1" outlineLevel="1" x14ac:dyDescent="0.25">
      <c r="C568" s="81" t="s">
        <v>274</v>
      </c>
      <c r="D568" s="148"/>
      <c r="E568" s="148"/>
      <c r="F568" s="181"/>
      <c r="G568" s="148"/>
      <c r="H568" s="506"/>
      <c r="I568" s="506"/>
      <c r="J568" s="506"/>
      <c r="K568" s="506"/>
      <c r="L568" s="506"/>
      <c r="M568" s="506"/>
      <c r="N568" s="16"/>
      <c r="O568" s="16"/>
      <c r="P568" s="16"/>
    </row>
    <row r="569" spans="3:17" hidden="1" outlineLevel="1" x14ac:dyDescent="0.25">
      <c r="D569" s="14"/>
      <c r="E569" s="15"/>
      <c r="F569" s="15"/>
      <c r="G569" s="15"/>
      <c r="H569" s="15"/>
      <c r="I569" s="15"/>
      <c r="J569" s="16"/>
      <c r="K569" s="16"/>
      <c r="L569" s="16"/>
      <c r="M569" s="16"/>
      <c r="N569" s="16"/>
      <c r="O569" s="16"/>
      <c r="P569" s="16"/>
    </row>
    <row r="570" spans="3:17" hidden="1" outlineLevel="1" x14ac:dyDescent="0.25">
      <c r="D570" s="14"/>
      <c r="E570" s="15"/>
      <c r="F570" s="15"/>
      <c r="G570" s="15"/>
      <c r="H570" s="15"/>
      <c r="I570" s="15"/>
      <c r="J570" s="16"/>
      <c r="K570" s="16"/>
      <c r="L570" s="16"/>
      <c r="M570" s="16"/>
      <c r="N570" s="16"/>
      <c r="O570" s="16"/>
      <c r="P570" s="16"/>
    </row>
    <row r="571" spans="3:17" ht="19.5" hidden="1" outlineLevel="1" x14ac:dyDescent="0.3">
      <c r="C571" s="54" t="s">
        <v>275</v>
      </c>
    </row>
    <row r="572" spans="3:17" hidden="1" outlineLevel="1" x14ac:dyDescent="0.25">
      <c r="C572" s="56"/>
      <c r="D572" s="500" t="str">
        <f>C571&amp;" by Quarter (years 1 and 2)"</f>
        <v>Income from Equity Fundraising by Quarter (years 1 and 2)</v>
      </c>
      <c r="E572" s="500"/>
      <c r="F572" s="500"/>
      <c r="G572" s="500"/>
      <c r="H572" s="500"/>
      <c r="I572" s="500"/>
      <c r="J572" s="500"/>
      <c r="K572" s="500"/>
      <c r="L572" s="61"/>
      <c r="M572" s="499" t="str">
        <f>"Annual "&amp;C571&amp;" (years 3 to 6)"</f>
        <v>Annual Income from Equity Fundraising (years 3 to 6)</v>
      </c>
      <c r="N572" s="499"/>
      <c r="O572" s="499"/>
      <c r="P572" s="499"/>
    </row>
    <row r="573" spans="3:17" hidden="1" outlineLevel="1" x14ac:dyDescent="0.25">
      <c r="C573" s="56"/>
      <c r="D573" s="500" t="s">
        <v>42</v>
      </c>
      <c r="E573" s="500"/>
      <c r="F573" s="500"/>
      <c r="G573" s="500"/>
      <c r="H573" s="500" t="s">
        <v>43</v>
      </c>
      <c r="I573" s="500"/>
      <c r="J573" s="500"/>
      <c r="K573" s="500"/>
      <c r="L573" s="61"/>
      <c r="M573" s="62" t="s">
        <v>44</v>
      </c>
      <c r="N573" s="62" t="s">
        <v>45</v>
      </c>
      <c r="O573" s="62" t="s">
        <v>46</v>
      </c>
      <c r="P573" s="62" t="s">
        <v>47</v>
      </c>
    </row>
    <row r="574" spans="3:17" hidden="1" outlineLevel="1" x14ac:dyDescent="0.25">
      <c r="C574" s="51"/>
      <c r="D574" s="44">
        <f>StartDate</f>
        <v>46023</v>
      </c>
      <c r="E574" s="45">
        <f>EDATE(D574,3)</f>
        <v>46113</v>
      </c>
      <c r="F574" s="45">
        <f t="shared" ref="F574:K574" si="225">EDATE(E574,3)</f>
        <v>46204</v>
      </c>
      <c r="G574" s="45">
        <f t="shared" si="225"/>
        <v>46296</v>
      </c>
      <c r="H574" s="45">
        <f t="shared" si="225"/>
        <v>46388</v>
      </c>
      <c r="I574" s="45">
        <f t="shared" si="225"/>
        <v>46478</v>
      </c>
      <c r="J574" s="45">
        <f t="shared" si="225"/>
        <v>46569</v>
      </c>
      <c r="K574" s="83">
        <f t="shared" si="225"/>
        <v>46661</v>
      </c>
      <c r="L574" s="146"/>
      <c r="M574" s="77">
        <f>EDATE(K574,3)</f>
        <v>46753</v>
      </c>
      <c r="N574" s="77">
        <f t="shared" ref="N574:P574" si="226">EDATE(M574,12)</f>
        <v>47119</v>
      </c>
      <c r="O574" s="77">
        <f t="shared" si="226"/>
        <v>47484</v>
      </c>
      <c r="P574" s="77">
        <f t="shared" si="226"/>
        <v>47849</v>
      </c>
      <c r="Q574" s="105"/>
    </row>
    <row r="575" spans="3:17" hidden="1" outlineLevel="1" x14ac:dyDescent="0.25">
      <c r="C575" s="59" t="str">
        <f t="shared" ref="C575:C579" si="227">C552</f>
        <v>Pre Seed Round</v>
      </c>
      <c r="D575" s="109">
        <f>IF(D$574=$E552,$D552,IF($E552&lt;E$574,$D552,0))</f>
        <v>100000</v>
      </c>
      <c r="E575" s="109">
        <f>IF(E$574=$E552,$D552,IF($E552&gt;E$574,IF($E552&lt;F$574,$D552,0),0))</f>
        <v>0</v>
      </c>
      <c r="F575" s="109">
        <f t="shared" ref="F575:K575" si="228">IF(F$574=$E552,$D552,IF($E552&gt;F$574,IF($E552&lt;G$574,$D552,0),0))</f>
        <v>0</v>
      </c>
      <c r="G575" s="109">
        <f t="shared" si="228"/>
        <v>0</v>
      </c>
      <c r="H575" s="109">
        <f t="shared" si="228"/>
        <v>0</v>
      </c>
      <c r="I575" s="109">
        <f t="shared" si="228"/>
        <v>0</v>
      </c>
      <c r="J575" s="109">
        <f t="shared" si="228"/>
        <v>0</v>
      </c>
      <c r="K575" s="109">
        <f t="shared" si="228"/>
        <v>0</v>
      </c>
      <c r="L575" s="61"/>
      <c r="M575" s="109">
        <f>IF(M$574=$E552,$D552,IF($E552&gt;M$574,IF($E552&lt;N$574,$D552,0),0))</f>
        <v>0</v>
      </c>
      <c r="N575" s="109">
        <f t="shared" ref="N575:O575" si="229">IF(N$574=$E552,$D552,IF($E552&gt;N$574,IF($E552&lt;O$574,$D552,0),0))</f>
        <v>0</v>
      </c>
      <c r="O575" s="109">
        <f t="shared" si="229"/>
        <v>0</v>
      </c>
      <c r="P575" s="109">
        <f>IF(P$574=$E552,$D552,IF($E552&gt;P$574,IF($E552&lt;Q$574,$D552,0),0))</f>
        <v>0</v>
      </c>
    </row>
    <row r="576" spans="3:17" hidden="1" outlineLevel="1" x14ac:dyDescent="0.25">
      <c r="C576" s="59" t="str">
        <f t="shared" si="227"/>
        <v>Seed Round</v>
      </c>
      <c r="D576" s="109">
        <f t="shared" ref="D576:D582" si="230">IF(D$574=$E553,$D553,IF($E553&lt;E$574,$D553,0))</f>
        <v>0</v>
      </c>
      <c r="E576" s="109">
        <f t="shared" ref="E576:K582" si="231">IF(E$574=$E553,$D553,IF($E553&gt;E$574,IF($E553&lt;F$574,$D553,0),0))</f>
        <v>0</v>
      </c>
      <c r="F576" s="109">
        <f t="shared" si="231"/>
        <v>0</v>
      </c>
      <c r="G576" s="109">
        <f t="shared" si="231"/>
        <v>0</v>
      </c>
      <c r="H576" s="109">
        <f t="shared" si="231"/>
        <v>300000</v>
      </c>
      <c r="I576" s="109">
        <f t="shared" si="231"/>
        <v>0</v>
      </c>
      <c r="J576" s="109">
        <f t="shared" si="231"/>
        <v>0</v>
      </c>
      <c r="K576" s="109">
        <f t="shared" si="231"/>
        <v>0</v>
      </c>
      <c r="L576" s="61"/>
      <c r="M576" s="109">
        <f t="shared" ref="M576:P582" si="232">IF(M$574=$E553,$D553,IF($E553&gt;M$574,IF($E553&lt;N$574,$D553,0),0))</f>
        <v>0</v>
      </c>
      <c r="N576" s="109">
        <f t="shared" si="232"/>
        <v>0</v>
      </c>
      <c r="O576" s="109">
        <f t="shared" si="232"/>
        <v>0</v>
      </c>
      <c r="P576" s="109">
        <f t="shared" si="232"/>
        <v>0</v>
      </c>
    </row>
    <row r="577" spans="3:16" hidden="1" outlineLevel="1" x14ac:dyDescent="0.25">
      <c r="C577" s="59" t="str">
        <f t="shared" si="227"/>
        <v>Series A</v>
      </c>
      <c r="D577" s="109">
        <f t="shared" si="230"/>
        <v>0</v>
      </c>
      <c r="E577" s="109">
        <f t="shared" si="231"/>
        <v>0</v>
      </c>
      <c r="F577" s="109">
        <f t="shared" si="231"/>
        <v>0</v>
      </c>
      <c r="G577" s="109">
        <f t="shared" si="231"/>
        <v>0</v>
      </c>
      <c r="H577" s="109">
        <f t="shared" si="231"/>
        <v>0</v>
      </c>
      <c r="I577" s="109">
        <f t="shared" si="231"/>
        <v>0</v>
      </c>
      <c r="J577" s="109">
        <f t="shared" si="231"/>
        <v>0</v>
      </c>
      <c r="K577" s="109">
        <f t="shared" si="231"/>
        <v>0</v>
      </c>
      <c r="L577" s="61"/>
      <c r="M577" s="109">
        <f t="shared" si="232"/>
        <v>400000</v>
      </c>
      <c r="N577" s="109">
        <f>IF(N$574=$E554,$D554,IF($E554&gt;N$574,IF($E554&lt;O$574,$D554,0),0))</f>
        <v>0</v>
      </c>
      <c r="O577" s="109">
        <f>IF(O$574=$E554,$D554,IF($E554&gt;O$574,IF($E554&lt;P$574,$D554,0),0))</f>
        <v>0</v>
      </c>
      <c r="P577" s="109">
        <f t="shared" ref="P577:P582" si="233">IF(P$574=$E554,$D554,IF($E554&gt;P$574,IF($E554&lt;Q$574,$D554,0),0))</f>
        <v>0</v>
      </c>
    </row>
    <row r="578" spans="3:16" hidden="1" outlineLevel="1" x14ac:dyDescent="0.25">
      <c r="C578" s="59" t="str">
        <f t="shared" si="227"/>
        <v>Series B</v>
      </c>
      <c r="D578" s="109">
        <f t="shared" si="230"/>
        <v>0</v>
      </c>
      <c r="E578" s="109">
        <f t="shared" si="231"/>
        <v>0</v>
      </c>
      <c r="F578" s="109">
        <f t="shared" si="231"/>
        <v>0</v>
      </c>
      <c r="G578" s="109">
        <f t="shared" si="231"/>
        <v>0</v>
      </c>
      <c r="H578" s="109">
        <f t="shared" si="231"/>
        <v>0</v>
      </c>
      <c r="I578" s="109">
        <f t="shared" si="231"/>
        <v>0</v>
      </c>
      <c r="J578" s="109">
        <f t="shared" si="231"/>
        <v>0</v>
      </c>
      <c r="K578" s="109">
        <f t="shared" si="231"/>
        <v>0</v>
      </c>
      <c r="L578" s="61"/>
      <c r="M578" s="109">
        <f t="shared" si="232"/>
        <v>0</v>
      </c>
      <c r="N578" s="109">
        <f t="shared" si="232"/>
        <v>200000</v>
      </c>
      <c r="O578" s="109">
        <f t="shared" si="232"/>
        <v>0</v>
      </c>
      <c r="P578" s="109">
        <f t="shared" si="233"/>
        <v>0</v>
      </c>
    </row>
    <row r="579" spans="3:16" hidden="1" outlineLevel="1" x14ac:dyDescent="0.25">
      <c r="C579" s="59" t="str">
        <f t="shared" si="227"/>
        <v>Series C</v>
      </c>
      <c r="D579" s="109">
        <f t="shared" si="230"/>
        <v>0</v>
      </c>
      <c r="E579" s="109">
        <f t="shared" si="231"/>
        <v>0</v>
      </c>
      <c r="F579" s="109">
        <f t="shared" si="231"/>
        <v>0</v>
      </c>
      <c r="G579" s="109">
        <f t="shared" si="231"/>
        <v>0</v>
      </c>
      <c r="H579" s="109">
        <f t="shared" si="231"/>
        <v>0</v>
      </c>
      <c r="I579" s="109">
        <f t="shared" si="231"/>
        <v>0</v>
      </c>
      <c r="J579" s="109">
        <f t="shared" si="231"/>
        <v>0</v>
      </c>
      <c r="K579" s="109">
        <f t="shared" si="231"/>
        <v>0</v>
      </c>
      <c r="L579" s="61"/>
      <c r="M579" s="109">
        <f t="shared" si="232"/>
        <v>0</v>
      </c>
      <c r="N579" s="109">
        <f t="shared" si="232"/>
        <v>0</v>
      </c>
      <c r="O579" s="109">
        <f t="shared" si="232"/>
        <v>100000</v>
      </c>
      <c r="P579" s="109">
        <f t="shared" si="233"/>
        <v>0</v>
      </c>
    </row>
    <row r="580" spans="3:16" hidden="1" outlineLevel="1" x14ac:dyDescent="0.25">
      <c r="C580" s="59" t="str">
        <f>IF(C557=0,"",C557)</f>
        <v/>
      </c>
      <c r="D580" s="109">
        <f t="shared" si="230"/>
        <v>0</v>
      </c>
      <c r="E580" s="109">
        <f t="shared" si="231"/>
        <v>0</v>
      </c>
      <c r="F580" s="109">
        <f t="shared" si="231"/>
        <v>0</v>
      </c>
      <c r="G580" s="109">
        <f t="shared" si="231"/>
        <v>0</v>
      </c>
      <c r="H580" s="109">
        <f t="shared" si="231"/>
        <v>0</v>
      </c>
      <c r="I580" s="109">
        <f t="shared" si="231"/>
        <v>0</v>
      </c>
      <c r="J580" s="109">
        <f t="shared" si="231"/>
        <v>0</v>
      </c>
      <c r="K580" s="109">
        <f t="shared" si="231"/>
        <v>0</v>
      </c>
      <c r="L580" s="61"/>
      <c r="M580" s="109">
        <f t="shared" si="232"/>
        <v>0</v>
      </c>
      <c r="N580" s="109">
        <f t="shared" si="232"/>
        <v>0</v>
      </c>
      <c r="O580" s="109">
        <f t="shared" si="232"/>
        <v>0</v>
      </c>
      <c r="P580" s="109">
        <f t="shared" si="233"/>
        <v>0</v>
      </c>
    </row>
    <row r="581" spans="3:16" hidden="1" outlineLevel="1" x14ac:dyDescent="0.25">
      <c r="C581" s="59" t="str">
        <f t="shared" ref="C581:C582" si="234">IF(C558=0,"",C558)</f>
        <v/>
      </c>
      <c r="D581" s="109">
        <f t="shared" si="230"/>
        <v>0</v>
      </c>
      <c r="E581" s="109">
        <f t="shared" si="231"/>
        <v>0</v>
      </c>
      <c r="F581" s="109">
        <f t="shared" si="231"/>
        <v>0</v>
      </c>
      <c r="G581" s="109">
        <f t="shared" si="231"/>
        <v>0</v>
      </c>
      <c r="H581" s="109">
        <f t="shared" si="231"/>
        <v>0</v>
      </c>
      <c r="I581" s="109">
        <f t="shared" si="231"/>
        <v>0</v>
      </c>
      <c r="J581" s="109">
        <f t="shared" si="231"/>
        <v>0</v>
      </c>
      <c r="K581" s="109">
        <f t="shared" si="231"/>
        <v>0</v>
      </c>
      <c r="L581" s="61"/>
      <c r="M581" s="109">
        <f t="shared" si="232"/>
        <v>0</v>
      </c>
      <c r="N581" s="109">
        <f t="shared" si="232"/>
        <v>0</v>
      </c>
      <c r="O581" s="109">
        <f t="shared" si="232"/>
        <v>0</v>
      </c>
      <c r="P581" s="109">
        <f t="shared" si="233"/>
        <v>0</v>
      </c>
    </row>
    <row r="582" spans="3:16" ht="15.75" hidden="1" outlineLevel="1" thickBot="1" x14ac:dyDescent="0.3">
      <c r="C582" s="59" t="str">
        <f t="shared" si="234"/>
        <v/>
      </c>
      <c r="D582" s="109">
        <f t="shared" si="230"/>
        <v>0</v>
      </c>
      <c r="E582" s="109">
        <f t="shared" si="231"/>
        <v>0</v>
      </c>
      <c r="F582" s="109">
        <f t="shared" si="231"/>
        <v>0</v>
      </c>
      <c r="G582" s="109">
        <f t="shared" si="231"/>
        <v>0</v>
      </c>
      <c r="H582" s="109">
        <f t="shared" si="231"/>
        <v>0</v>
      </c>
      <c r="I582" s="109">
        <f t="shared" si="231"/>
        <v>0</v>
      </c>
      <c r="J582" s="109">
        <f t="shared" si="231"/>
        <v>0</v>
      </c>
      <c r="K582" s="109">
        <f t="shared" si="231"/>
        <v>0</v>
      </c>
      <c r="L582" s="61"/>
      <c r="M582" s="109">
        <f t="shared" si="232"/>
        <v>0</v>
      </c>
      <c r="N582" s="109">
        <f t="shared" si="232"/>
        <v>0</v>
      </c>
      <c r="O582" s="109">
        <f t="shared" si="232"/>
        <v>0</v>
      </c>
      <c r="P582" s="109">
        <f t="shared" si="233"/>
        <v>0</v>
      </c>
    </row>
    <row r="583" spans="3:16" ht="15.75" hidden="1" outlineLevel="1" thickBot="1" x14ac:dyDescent="0.3">
      <c r="C583" s="98" t="s">
        <v>58</v>
      </c>
      <c r="D583" s="99">
        <f>SUM(D575:D582)</f>
        <v>100000</v>
      </c>
      <c r="E583" s="99">
        <f t="shared" ref="E583:P583" si="235">SUM(E575:E582)</f>
        <v>0</v>
      </c>
      <c r="F583" s="99">
        <f t="shared" si="235"/>
        <v>0</v>
      </c>
      <c r="G583" s="99">
        <f t="shared" si="235"/>
        <v>0</v>
      </c>
      <c r="H583" s="99">
        <f t="shared" si="235"/>
        <v>300000</v>
      </c>
      <c r="I583" s="99">
        <f t="shared" si="235"/>
        <v>0</v>
      </c>
      <c r="J583" s="99">
        <f t="shared" si="235"/>
        <v>0</v>
      </c>
      <c r="K583" s="100">
        <f t="shared" si="235"/>
        <v>0</v>
      </c>
      <c r="L583" s="61"/>
      <c r="M583" s="101">
        <f t="shared" si="235"/>
        <v>400000</v>
      </c>
      <c r="N583" s="99">
        <f t="shared" si="235"/>
        <v>200000</v>
      </c>
      <c r="O583" s="99">
        <f t="shared" si="235"/>
        <v>100000</v>
      </c>
      <c r="P583" s="100">
        <f t="shared" si="235"/>
        <v>0</v>
      </c>
    </row>
    <row r="584" spans="3:16" hidden="1" outlineLevel="1" x14ac:dyDescent="0.25">
      <c r="C584" s="31"/>
      <c r="D584" s="104"/>
      <c r="E584" s="104"/>
      <c r="F584" s="104"/>
      <c r="G584" s="104"/>
      <c r="H584" s="104"/>
      <c r="I584" s="104"/>
      <c r="J584" s="104"/>
      <c r="K584" s="104"/>
      <c r="L584" s="104"/>
      <c r="M584" s="104"/>
      <c r="N584" s="104"/>
      <c r="O584" s="104"/>
      <c r="P584" s="104"/>
    </row>
    <row r="585" spans="3:16" hidden="1" outlineLevel="1" x14ac:dyDescent="0.25">
      <c r="C585" s="31"/>
      <c r="D585" s="104"/>
      <c r="E585" s="104"/>
      <c r="F585" s="104"/>
      <c r="G585" s="104"/>
      <c r="H585" s="104"/>
      <c r="I585" s="104"/>
      <c r="J585" s="104"/>
      <c r="K585" s="104"/>
      <c r="L585" s="104"/>
      <c r="M585" s="104"/>
      <c r="N585" s="104"/>
      <c r="O585" s="104"/>
      <c r="P585" s="104"/>
    </row>
    <row r="586" spans="3:16" ht="19.5" hidden="1" outlineLevel="1" x14ac:dyDescent="0.3">
      <c r="C586" s="54" t="s">
        <v>276</v>
      </c>
      <c r="E586" s="104"/>
      <c r="F586" s="104"/>
      <c r="G586" s="104"/>
      <c r="H586" s="104"/>
      <c r="I586" s="104"/>
      <c r="J586" s="104"/>
      <c r="K586" s="104"/>
      <c r="L586" s="104"/>
      <c r="M586" s="104"/>
      <c r="N586" s="104"/>
      <c r="O586" s="104"/>
      <c r="P586" s="104"/>
    </row>
    <row r="587" spans="3:16" hidden="1" outlineLevel="1" x14ac:dyDescent="0.25">
      <c r="C587" s="56"/>
      <c r="D587" s="500" t="str">
        <f>C586&amp;" by Quarter (years 1 and 2)"</f>
        <v>Change in Debt by Quarter (years 1 and 2)</v>
      </c>
      <c r="E587" s="500"/>
      <c r="F587" s="500"/>
      <c r="G587" s="500"/>
      <c r="H587" s="500"/>
      <c r="I587" s="500"/>
      <c r="J587" s="500"/>
      <c r="K587" s="500"/>
      <c r="L587" s="61"/>
      <c r="M587" s="499" t="str">
        <f>"Annual "&amp;C586&amp;" (years 3 to 6)"</f>
        <v>Annual Change in Debt (years 3 to 6)</v>
      </c>
      <c r="N587" s="499"/>
      <c r="O587" s="499"/>
      <c r="P587" s="499"/>
    </row>
    <row r="588" spans="3:16" hidden="1" outlineLevel="1" x14ac:dyDescent="0.25">
      <c r="C588" s="56"/>
      <c r="D588" s="500" t="s">
        <v>42</v>
      </c>
      <c r="E588" s="500"/>
      <c r="F588" s="500"/>
      <c r="G588" s="500"/>
      <c r="H588" s="500" t="s">
        <v>43</v>
      </c>
      <c r="I588" s="500"/>
      <c r="J588" s="500"/>
      <c r="K588" s="500"/>
      <c r="L588" s="61"/>
      <c r="M588" s="62" t="s">
        <v>44</v>
      </c>
      <c r="N588" s="62" t="s">
        <v>45</v>
      </c>
      <c r="O588" s="62" t="s">
        <v>46</v>
      </c>
      <c r="P588" s="62" t="s">
        <v>47</v>
      </c>
    </row>
    <row r="589" spans="3:16" hidden="1" outlineLevel="1" x14ac:dyDescent="0.25">
      <c r="C589" s="76"/>
      <c r="D589" s="77">
        <f>StartDate</f>
        <v>46023</v>
      </c>
      <c r="E589" s="77">
        <f>EDATE(D589,3)</f>
        <v>46113</v>
      </c>
      <c r="F589" s="77">
        <f t="shared" ref="F589:K589" si="236">EDATE(E589,3)</f>
        <v>46204</v>
      </c>
      <c r="G589" s="77">
        <f t="shared" si="236"/>
        <v>46296</v>
      </c>
      <c r="H589" s="77">
        <f t="shared" si="236"/>
        <v>46388</v>
      </c>
      <c r="I589" s="77">
        <f t="shared" si="236"/>
        <v>46478</v>
      </c>
      <c r="J589" s="77">
        <f t="shared" si="236"/>
        <v>46569</v>
      </c>
      <c r="K589" s="77">
        <f t="shared" si="236"/>
        <v>46661</v>
      </c>
      <c r="L589" s="61"/>
      <c r="M589" s="77">
        <f>EDATE(K589,3)</f>
        <v>46753</v>
      </c>
      <c r="N589" s="77">
        <f t="shared" ref="N589:P589" si="237">EDATE(M589,12)</f>
        <v>47119</v>
      </c>
      <c r="O589" s="77">
        <f t="shared" si="237"/>
        <v>47484</v>
      </c>
      <c r="P589" s="77">
        <f t="shared" si="237"/>
        <v>47849</v>
      </c>
    </row>
    <row r="590" spans="3:16" hidden="1" outlineLevel="1" x14ac:dyDescent="0.25">
      <c r="C590" s="59" t="str">
        <f>C564</f>
        <v>Loan 1</v>
      </c>
      <c r="D590" s="163">
        <f>IF(D$589=$F564,$D564,IF($F564&lt;E$589,$D564,0))</f>
        <v>0</v>
      </c>
      <c r="E590" s="163">
        <f>IF(E$589=$F564,$D564,IF(E$589=EDATE($F564,12*$G564),$D564*-1,IF($F564&gt;E$589,IF($F564&lt;F$589,$D564,0),IF(EDATE($F564,12*$G564)&gt;F$589,0,IF(EDATE($F564,12*$G564)&gt;E$589,IF(EDATE($F564,12*$G564)&lt;F$589,$D564*-1,0),0)))))</f>
        <v>0</v>
      </c>
      <c r="F590" s="163">
        <f t="shared" ref="F590:J590" si="238">IF(F$589=$F564,$D564,IF(F$589=EDATE($F564,12*$G564),$D564*-1,IF($F564&gt;F$589,IF($F564&lt;G$589,$D564,0),IF(EDATE($F564,12*$G564)&gt;G$589,0,IF(EDATE($F564,12*$G564)&gt;F$589,IF(EDATE($F564,12*$G564)&lt;G$589,$D564*-1,0),0)))))</f>
        <v>0</v>
      </c>
      <c r="G590" s="163">
        <f t="shared" si="238"/>
        <v>0</v>
      </c>
      <c r="H590" s="163">
        <f t="shared" si="238"/>
        <v>0</v>
      </c>
      <c r="I590" s="163">
        <f t="shared" si="238"/>
        <v>0</v>
      </c>
      <c r="J590" s="163">
        <f t="shared" si="238"/>
        <v>0</v>
      </c>
      <c r="K590" s="163">
        <f>IF(K$589=$F564,$D564,IF(K$589=EDATE($F564,12*$G564),$D564*-1,IF($F564&gt;K$589,IF($F564&lt;M$589,$D564,0),IF(EDATE($F564,12*$G564)&gt;M$589,0,IF(EDATE($F564,12*$G564)&gt;K$589,IF(EDATE($F564,12*$G564)&lt;M$589,$D564*-1,0),0)))))</f>
        <v>0</v>
      </c>
      <c r="L590" s="61"/>
      <c r="M590" s="163">
        <f>IF(M$589=$F564,$D564,IF(M$589=EDATE($F564,12*$G564),$D564*-1,IF($F564&gt;M$589,IF($F564&lt;N$589,$D564,0),IF(EDATE($F564,12*$G564)&gt;N$589,0,IF(EDATE($F564,12*$G564)&gt;M$589,IF(EDATE($F564,12*$G564)&lt;N$589,$D564*-1,0),0)))))</f>
        <v>0</v>
      </c>
      <c r="N590" s="163">
        <f t="shared" ref="N590:P590" si="239">IF(N$589=$F564,$D564,IF(N$589=EDATE($F564,12*$G564),$D564*-1,IF($F564&gt;N$589,IF($F564&lt;O$589,$D564,0),IF(EDATE($F564,12*$G564)&gt;O$589,0,IF(EDATE($F564,12*$G564)&gt;N$589,IF(EDATE($F564,12*$G564)&lt;O$589,$D564*-1,0),0)))))</f>
        <v>0</v>
      </c>
      <c r="O590" s="163">
        <f t="shared" si="239"/>
        <v>0</v>
      </c>
      <c r="P590" s="163">
        <f t="shared" si="239"/>
        <v>0</v>
      </c>
    </row>
    <row r="591" spans="3:16" hidden="1" outlineLevel="1" x14ac:dyDescent="0.25">
      <c r="C591" s="59" t="str">
        <f>C565</f>
        <v>Loan 2</v>
      </c>
      <c r="D591" s="163">
        <f t="shared" ref="D591:D594" si="240">IF(D$589=$F565,$D565,IF($F565&lt;E$589,$D565,0))</f>
        <v>0</v>
      </c>
      <c r="E591" s="163">
        <f t="shared" ref="E591:J594" si="241">IF(E$589=$F565,$D565,IF(E$589=EDATE($F565,12*$G565),$D565*-1,IF($F565&gt;E$589,IF($F565&lt;F$589,$D565,0),IF(EDATE($F565,12*$G565)&gt;F$589,0,IF(EDATE($F565,12*$G565)&gt;E$589,IF(EDATE($F565,12*$G565)&lt;F$589,$D565*-1,0),0)))))</f>
        <v>0</v>
      </c>
      <c r="F591" s="163">
        <f t="shared" si="241"/>
        <v>0</v>
      </c>
      <c r="G591" s="163">
        <f t="shared" si="241"/>
        <v>0</v>
      </c>
      <c r="H591" s="163">
        <f t="shared" si="241"/>
        <v>0</v>
      </c>
      <c r="I591" s="163">
        <f t="shared" si="241"/>
        <v>0</v>
      </c>
      <c r="J591" s="163">
        <f t="shared" si="241"/>
        <v>0</v>
      </c>
      <c r="K591" s="163">
        <f t="shared" ref="K591:K594" si="242">IF(K$589=$F565,$D565,IF(K$589=EDATE($F565,12*$G565),$D565*-1,IF($F565&gt;K$589,IF($F565&lt;M$589,$D565,0),IF(EDATE($F565,12*$G565)&gt;M$589,0,IF(EDATE($F565,12*$G565)&gt;K$589,IF(EDATE($F565,12*$G565)&lt;M$589,$D565*-1,0),0)))))</f>
        <v>0</v>
      </c>
      <c r="L591" s="61"/>
      <c r="M591" s="163">
        <f t="shared" ref="M591:P594" si="243">IF(M$589=$F565,$D565,IF(M$589=EDATE($F565,12*$G565),$D565*-1,IF($F565&gt;M$589,IF($F565&lt;N$589,$D565,0),IF(EDATE($F565,12*$G565)&gt;N$589,0,IF(EDATE($F565,12*$G565)&gt;M$589,IF(EDATE($F565,12*$G565)&lt;N$589,$D565*-1,0),0)))))</f>
        <v>0</v>
      </c>
      <c r="N591" s="163">
        <f t="shared" si="243"/>
        <v>0</v>
      </c>
      <c r="O591" s="163">
        <f t="shared" si="243"/>
        <v>0</v>
      </c>
      <c r="P591" s="163">
        <f t="shared" si="243"/>
        <v>0</v>
      </c>
    </row>
    <row r="592" spans="3:16" hidden="1" outlineLevel="1" x14ac:dyDescent="0.25">
      <c r="C592" s="59" t="str">
        <f>C566</f>
        <v>Loan 3</v>
      </c>
      <c r="D592" s="163">
        <f t="shared" si="240"/>
        <v>0</v>
      </c>
      <c r="E592" s="163">
        <f t="shared" si="241"/>
        <v>0</v>
      </c>
      <c r="F592" s="163">
        <f t="shared" si="241"/>
        <v>0</v>
      </c>
      <c r="G592" s="163">
        <f t="shared" si="241"/>
        <v>0</v>
      </c>
      <c r="H592" s="163">
        <f t="shared" si="241"/>
        <v>0</v>
      </c>
      <c r="I592" s="163">
        <f t="shared" si="241"/>
        <v>0</v>
      </c>
      <c r="J592" s="163">
        <f t="shared" si="241"/>
        <v>0</v>
      </c>
      <c r="K592" s="163">
        <f t="shared" si="242"/>
        <v>0</v>
      </c>
      <c r="L592" s="61"/>
      <c r="M592" s="163">
        <f t="shared" si="243"/>
        <v>0</v>
      </c>
      <c r="N592" s="163">
        <f t="shared" si="243"/>
        <v>0</v>
      </c>
      <c r="O592" s="163">
        <f t="shared" si="243"/>
        <v>0</v>
      </c>
      <c r="P592" s="163">
        <f>IF(P$589=$F566,$D566,IF(P$589=EDATE($F566,12*$G566),$D566*-1,IF($F566&gt;P$589,IF($F566&lt;Q$589,$D566,0),IF(EDATE($F566,12*$G566)&gt;Q$589,0,IF(EDATE($F566,12*$G566)&gt;P$589,IF(EDATE($F566,12*$G566)&lt;Q$589,$D566*-1,0),0)))))</f>
        <v>0</v>
      </c>
    </row>
    <row r="593" spans="3:16" hidden="1" outlineLevel="1" x14ac:dyDescent="0.25">
      <c r="C593" s="59" t="str">
        <f>C567</f>
        <v>Loan 4</v>
      </c>
      <c r="D593" s="163">
        <f t="shared" si="240"/>
        <v>0</v>
      </c>
      <c r="E593" s="163">
        <f t="shared" si="241"/>
        <v>0</v>
      </c>
      <c r="F593" s="163">
        <f t="shared" si="241"/>
        <v>0</v>
      </c>
      <c r="G593" s="163">
        <f t="shared" si="241"/>
        <v>0</v>
      </c>
      <c r="H593" s="163">
        <f t="shared" si="241"/>
        <v>0</v>
      </c>
      <c r="I593" s="163">
        <f t="shared" si="241"/>
        <v>0</v>
      </c>
      <c r="J593" s="163">
        <f t="shared" si="241"/>
        <v>0</v>
      </c>
      <c r="K593" s="163">
        <f t="shared" si="242"/>
        <v>0</v>
      </c>
      <c r="L593" s="61"/>
      <c r="M593" s="163">
        <f t="shared" si="243"/>
        <v>0</v>
      </c>
      <c r="N593" s="163">
        <f t="shared" si="243"/>
        <v>0</v>
      </c>
      <c r="O593" s="163">
        <f t="shared" si="243"/>
        <v>0</v>
      </c>
      <c r="P593" s="163">
        <f t="shared" si="243"/>
        <v>0</v>
      </c>
    </row>
    <row r="594" spans="3:16" ht="15.75" hidden="1" outlineLevel="1" thickBot="1" x14ac:dyDescent="0.3">
      <c r="C594" s="111" t="str">
        <f>C568</f>
        <v>Loan 5</v>
      </c>
      <c r="D594" s="163">
        <f t="shared" si="240"/>
        <v>0</v>
      </c>
      <c r="E594" s="163">
        <f t="shared" si="241"/>
        <v>0</v>
      </c>
      <c r="F594" s="163">
        <f t="shared" si="241"/>
        <v>0</v>
      </c>
      <c r="G594" s="163">
        <f t="shared" si="241"/>
        <v>0</v>
      </c>
      <c r="H594" s="163">
        <f t="shared" si="241"/>
        <v>0</v>
      </c>
      <c r="I594" s="163">
        <f t="shared" si="241"/>
        <v>0</v>
      </c>
      <c r="J594" s="163">
        <f t="shared" si="241"/>
        <v>0</v>
      </c>
      <c r="K594" s="163">
        <f t="shared" si="242"/>
        <v>0</v>
      </c>
      <c r="L594" s="61"/>
      <c r="M594" s="163">
        <f t="shared" si="243"/>
        <v>0</v>
      </c>
      <c r="N594" s="163">
        <f t="shared" si="243"/>
        <v>0</v>
      </c>
      <c r="O594" s="163">
        <f t="shared" si="243"/>
        <v>0</v>
      </c>
      <c r="P594" s="163">
        <f>IF(P$589=$F568,$D568,IF(P$589=EDATE($F568,12*$G568),$D568*-1,IF($F568&gt;P$589,IF($F568&lt;Q$589,$D568,0),IF(EDATE($F568,12*$G568)&gt;Q$589,0,IF(EDATE($F568,12*$G568)&gt;P$589,IF(EDATE($F568,12*$G568)&lt;Q$589,$D568*-1,0),0)))))</f>
        <v>0</v>
      </c>
    </row>
    <row r="595" spans="3:16" ht="15.75" hidden="1" outlineLevel="1" thickBot="1" x14ac:dyDescent="0.3">
      <c r="C595" s="113" t="s">
        <v>58</v>
      </c>
      <c r="D595" s="183">
        <f>SUM(D590:D594)</f>
        <v>0</v>
      </c>
      <c r="E595" s="183">
        <f t="shared" ref="E595:P595" si="244">SUM(E590:E594)</f>
        <v>0</v>
      </c>
      <c r="F595" s="183">
        <f t="shared" si="244"/>
        <v>0</v>
      </c>
      <c r="G595" s="183">
        <f t="shared" si="244"/>
        <v>0</v>
      </c>
      <c r="H595" s="183">
        <f t="shared" si="244"/>
        <v>0</v>
      </c>
      <c r="I595" s="183">
        <f t="shared" si="244"/>
        <v>0</v>
      </c>
      <c r="J595" s="183">
        <f t="shared" si="244"/>
        <v>0</v>
      </c>
      <c r="K595" s="184">
        <f t="shared" si="244"/>
        <v>0</v>
      </c>
      <c r="L595" s="61"/>
      <c r="M595" s="185">
        <f t="shared" si="244"/>
        <v>0</v>
      </c>
      <c r="N595" s="183">
        <f t="shared" si="244"/>
        <v>0</v>
      </c>
      <c r="O595" s="183">
        <f t="shared" si="244"/>
        <v>0</v>
      </c>
      <c r="P595" s="184">
        <f t="shared" si="244"/>
        <v>0</v>
      </c>
    </row>
    <row r="596" spans="3:16" hidden="1" outlineLevel="1" x14ac:dyDescent="0.25"/>
    <row r="597" spans="3:16" hidden="1" outlineLevel="1" x14ac:dyDescent="0.25"/>
    <row r="598" spans="3:16" hidden="1" outlineLevel="1" x14ac:dyDescent="0.25"/>
    <row r="599" spans="3:16" ht="19.5" hidden="1" outlineLevel="1" x14ac:dyDescent="0.3">
      <c r="C599" s="54" t="s">
        <v>277</v>
      </c>
    </row>
    <row r="600" spans="3:16" hidden="1" outlineLevel="1" x14ac:dyDescent="0.25">
      <c r="C600" s="56"/>
      <c r="D600" s="500" t="str">
        <f>C599&amp;" by Quarter (years 1 and 2)"</f>
        <v>Interest Payments by Quarter (years 1 and 2)</v>
      </c>
      <c r="E600" s="500"/>
      <c r="F600" s="500"/>
      <c r="G600" s="500"/>
      <c r="H600" s="500"/>
      <c r="I600" s="500"/>
      <c r="J600" s="500"/>
      <c r="K600" s="500"/>
      <c r="L600" s="61"/>
      <c r="M600" s="499" t="str">
        <f>"Annual "&amp;C599&amp;" (years 3 to 6)"</f>
        <v>Annual Interest Payments (years 3 to 6)</v>
      </c>
      <c r="N600" s="499"/>
      <c r="O600" s="499"/>
      <c r="P600" s="499"/>
    </row>
    <row r="601" spans="3:16" hidden="1" outlineLevel="1" x14ac:dyDescent="0.25">
      <c r="C601" s="56"/>
      <c r="D601" s="500" t="s">
        <v>42</v>
      </c>
      <c r="E601" s="500"/>
      <c r="F601" s="500"/>
      <c r="G601" s="500"/>
      <c r="H601" s="500" t="s">
        <v>43</v>
      </c>
      <c r="I601" s="500"/>
      <c r="J601" s="500"/>
      <c r="K601" s="500"/>
      <c r="L601" s="61"/>
      <c r="M601" s="62" t="s">
        <v>44</v>
      </c>
      <c r="N601" s="62" t="s">
        <v>45</v>
      </c>
      <c r="O601" s="62" t="s">
        <v>46</v>
      </c>
      <c r="P601" s="62" t="s">
        <v>47</v>
      </c>
    </row>
    <row r="602" spans="3:16" hidden="1" outlineLevel="1" x14ac:dyDescent="0.25">
      <c r="C602" s="76"/>
      <c r="D602" s="77">
        <f>StartDate</f>
        <v>46023</v>
      </c>
      <c r="E602" s="77">
        <f>EDATE(D602,3)</f>
        <v>46113</v>
      </c>
      <c r="F602" s="77">
        <f t="shared" ref="F602:K602" si="245">EDATE(E602,3)</f>
        <v>46204</v>
      </c>
      <c r="G602" s="77">
        <f t="shared" si="245"/>
        <v>46296</v>
      </c>
      <c r="H602" s="77">
        <f t="shared" si="245"/>
        <v>46388</v>
      </c>
      <c r="I602" s="77">
        <f t="shared" si="245"/>
        <v>46478</v>
      </c>
      <c r="J602" s="77">
        <f t="shared" si="245"/>
        <v>46569</v>
      </c>
      <c r="K602" s="77">
        <f t="shared" si="245"/>
        <v>46661</v>
      </c>
      <c r="L602" s="61"/>
      <c r="M602" s="77">
        <f>EDATE(K602,3)</f>
        <v>46753</v>
      </c>
      <c r="N602" s="77">
        <f t="shared" ref="N602:P602" si="246">EDATE(M602,12)</f>
        <v>47119</v>
      </c>
      <c r="O602" s="77">
        <f t="shared" si="246"/>
        <v>47484</v>
      </c>
      <c r="P602" s="77">
        <f t="shared" si="246"/>
        <v>47849</v>
      </c>
    </row>
    <row r="603" spans="3:16" hidden="1" outlineLevel="1" x14ac:dyDescent="0.25">
      <c r="C603" s="59" t="str">
        <f>C564</f>
        <v>Loan 1</v>
      </c>
      <c r="D603" s="68"/>
      <c r="E603" s="68"/>
      <c r="F603" s="68"/>
      <c r="G603" s="68"/>
      <c r="H603" s="68"/>
      <c r="I603" s="68"/>
      <c r="J603" s="68"/>
      <c r="K603" s="68"/>
      <c r="L603" s="61"/>
      <c r="M603" s="68"/>
      <c r="N603" s="68"/>
      <c r="O603" s="68"/>
      <c r="P603" s="68"/>
    </row>
    <row r="604" spans="3:16" hidden="1" outlineLevel="1" x14ac:dyDescent="0.25">
      <c r="C604" s="59" t="str">
        <f>C565</f>
        <v>Loan 2</v>
      </c>
      <c r="D604" s="68"/>
      <c r="E604" s="68"/>
      <c r="F604" s="68"/>
      <c r="G604" s="68"/>
      <c r="H604" s="68"/>
      <c r="I604" s="68"/>
      <c r="J604" s="68"/>
      <c r="K604" s="68"/>
      <c r="L604" s="61"/>
      <c r="M604" s="68"/>
      <c r="N604" s="68"/>
      <c r="O604" s="68"/>
      <c r="P604" s="68"/>
    </row>
    <row r="605" spans="3:16" hidden="1" outlineLevel="1" x14ac:dyDescent="0.25">
      <c r="C605" s="59" t="str">
        <f>C566</f>
        <v>Loan 3</v>
      </c>
      <c r="D605" s="68"/>
      <c r="E605" s="68"/>
      <c r="F605" s="68"/>
      <c r="G605" s="68"/>
      <c r="H605" s="68"/>
      <c r="I605" s="68"/>
      <c r="J605" s="68"/>
      <c r="K605" s="68"/>
      <c r="L605" s="61"/>
      <c r="M605" s="68"/>
      <c r="N605" s="68"/>
      <c r="O605" s="68"/>
      <c r="P605" s="68"/>
    </row>
    <row r="606" spans="3:16" hidden="1" outlineLevel="1" x14ac:dyDescent="0.25">
      <c r="C606" s="59" t="str">
        <f>C567</f>
        <v>Loan 4</v>
      </c>
      <c r="D606" s="68"/>
      <c r="E606" s="68"/>
      <c r="F606" s="68"/>
      <c r="G606" s="68"/>
      <c r="H606" s="68"/>
      <c r="I606" s="68"/>
      <c r="J606" s="68"/>
      <c r="K606" s="68"/>
      <c r="L606" s="61"/>
      <c r="M606" s="68"/>
      <c r="N606" s="68"/>
      <c r="O606" s="68"/>
      <c r="P606" s="68"/>
    </row>
    <row r="607" spans="3:16" ht="15.75" hidden="1" outlineLevel="1" thickBot="1" x14ac:dyDescent="0.3">
      <c r="C607" s="111" t="str">
        <f>C568</f>
        <v>Loan 5</v>
      </c>
      <c r="D607" s="145"/>
      <c r="E607" s="145"/>
      <c r="F607" s="145"/>
      <c r="G607" s="145"/>
      <c r="H607" s="145"/>
      <c r="I607" s="145"/>
      <c r="J607" s="145"/>
      <c r="K607" s="145"/>
      <c r="L607" s="61"/>
      <c r="M607" s="145"/>
      <c r="N607" s="145"/>
      <c r="O607" s="145"/>
      <c r="P607" s="145"/>
    </row>
    <row r="608" spans="3:16" ht="15.75" hidden="1" outlineLevel="1" thickBot="1" x14ac:dyDescent="0.3">
      <c r="C608" s="98" t="s">
        <v>58</v>
      </c>
      <c r="D608" s="99">
        <f>SUM(D603:D607)</f>
        <v>0</v>
      </c>
      <c r="E608" s="99">
        <f t="shared" ref="E608:P608" si="247">SUM(E603:E607)</f>
        <v>0</v>
      </c>
      <c r="F608" s="99">
        <f t="shared" si="247"/>
        <v>0</v>
      </c>
      <c r="G608" s="99">
        <f t="shared" si="247"/>
        <v>0</v>
      </c>
      <c r="H608" s="99">
        <f t="shared" si="247"/>
        <v>0</v>
      </c>
      <c r="I608" s="99">
        <f t="shared" si="247"/>
        <v>0</v>
      </c>
      <c r="J608" s="99">
        <f t="shared" si="247"/>
        <v>0</v>
      </c>
      <c r="K608" s="100">
        <f t="shared" si="247"/>
        <v>0</v>
      </c>
      <c r="L608" s="61"/>
      <c r="M608" s="101">
        <f t="shared" si="247"/>
        <v>0</v>
      </c>
      <c r="N608" s="99">
        <f t="shared" si="247"/>
        <v>0</v>
      </c>
      <c r="O608" s="99">
        <f t="shared" si="247"/>
        <v>0</v>
      </c>
      <c r="P608" s="100">
        <f t="shared" si="247"/>
        <v>0</v>
      </c>
    </row>
    <row r="609" hidden="1" outlineLevel="1" x14ac:dyDescent="0.25"/>
    <row r="610" collapsed="1" x14ac:dyDescent="0.25"/>
  </sheetData>
  <mergeCells count="218">
    <mergeCell ref="D458:K458"/>
    <mergeCell ref="M458:P458"/>
    <mergeCell ref="D459:G459"/>
    <mergeCell ref="H459:K459"/>
    <mergeCell ref="D434:K434"/>
    <mergeCell ref="M434:P434"/>
    <mergeCell ref="D435:G435"/>
    <mergeCell ref="H435:K435"/>
    <mergeCell ref="H387:J387"/>
    <mergeCell ref="D601:G601"/>
    <mergeCell ref="H601:K601"/>
    <mergeCell ref="D573:G573"/>
    <mergeCell ref="H573:K573"/>
    <mergeCell ref="D587:K587"/>
    <mergeCell ref="H563:M563"/>
    <mergeCell ref="D600:K600"/>
    <mergeCell ref="M600:P600"/>
    <mergeCell ref="D525:G525"/>
    <mergeCell ref="H525:K525"/>
    <mergeCell ref="H559:K559"/>
    <mergeCell ref="M587:P587"/>
    <mergeCell ref="D588:G588"/>
    <mergeCell ref="H588:K588"/>
    <mergeCell ref="H564:M564"/>
    <mergeCell ref="H565:M565"/>
    <mergeCell ref="H566:M566"/>
    <mergeCell ref="H567:M567"/>
    <mergeCell ref="H568:M568"/>
    <mergeCell ref="D572:K572"/>
    <mergeCell ref="M572:P572"/>
    <mergeCell ref="T474:Y474"/>
    <mergeCell ref="D510:K510"/>
    <mergeCell ref="M510:P510"/>
    <mergeCell ref="D511:G511"/>
    <mergeCell ref="H511:K511"/>
    <mergeCell ref="D524:K524"/>
    <mergeCell ref="M524:P524"/>
    <mergeCell ref="H557:K557"/>
    <mergeCell ref="H558:K558"/>
    <mergeCell ref="F550:G550"/>
    <mergeCell ref="H551:K551"/>
    <mergeCell ref="H552:K552"/>
    <mergeCell ref="H553:K553"/>
    <mergeCell ref="H554:K554"/>
    <mergeCell ref="H555:K555"/>
    <mergeCell ref="H556:K556"/>
    <mergeCell ref="T435:Y435"/>
    <mergeCell ref="T399:Y399"/>
    <mergeCell ref="D416:K416"/>
    <mergeCell ref="M416:P416"/>
    <mergeCell ref="D417:G417"/>
    <mergeCell ref="H417:K417"/>
    <mergeCell ref="T417:Y417"/>
    <mergeCell ref="H393:J393"/>
    <mergeCell ref="H394:J394"/>
    <mergeCell ref="D398:K398"/>
    <mergeCell ref="M398:P398"/>
    <mergeCell ref="D399:G399"/>
    <mergeCell ref="H399:K399"/>
    <mergeCell ref="D337:G337"/>
    <mergeCell ref="H337:K337"/>
    <mergeCell ref="F325:J325"/>
    <mergeCell ref="H388:J388"/>
    <mergeCell ref="H389:J389"/>
    <mergeCell ref="H390:J390"/>
    <mergeCell ref="H391:J391"/>
    <mergeCell ref="H392:J392"/>
    <mergeCell ref="T343:Y343"/>
    <mergeCell ref="E351:J351"/>
    <mergeCell ref="H383:J383"/>
    <mergeCell ref="H384:J384"/>
    <mergeCell ref="H385:J385"/>
    <mergeCell ref="H386:J386"/>
    <mergeCell ref="T292:Y292"/>
    <mergeCell ref="D296:K296"/>
    <mergeCell ref="M296:P296"/>
    <mergeCell ref="D297:G297"/>
    <mergeCell ref="H297:K297"/>
    <mergeCell ref="D309:K309"/>
    <mergeCell ref="M309:P309"/>
    <mergeCell ref="D336:K336"/>
    <mergeCell ref="M336:P336"/>
    <mergeCell ref="E274:G274"/>
    <mergeCell ref="I274:K274"/>
    <mergeCell ref="M274:O274"/>
    <mergeCell ref="E284:G284"/>
    <mergeCell ref="I284:K284"/>
    <mergeCell ref="M284:O284"/>
    <mergeCell ref="D310:G310"/>
    <mergeCell ref="H310:K310"/>
    <mergeCell ref="E291:G291"/>
    <mergeCell ref="I291:K291"/>
    <mergeCell ref="M291:O291"/>
    <mergeCell ref="E281:G281"/>
    <mergeCell ref="I281:K281"/>
    <mergeCell ref="M281:O281"/>
    <mergeCell ref="T241:Y241"/>
    <mergeCell ref="C68:D68"/>
    <mergeCell ref="C117:D117"/>
    <mergeCell ref="C167:D167"/>
    <mergeCell ref="G178:O178"/>
    <mergeCell ref="E208:G208"/>
    <mergeCell ref="I208:K208"/>
    <mergeCell ref="M208:O208"/>
    <mergeCell ref="E209:G209"/>
    <mergeCell ref="I209:K209"/>
    <mergeCell ref="M209:O209"/>
    <mergeCell ref="E206:G206"/>
    <mergeCell ref="I206:K206"/>
    <mergeCell ref="M206:O206"/>
    <mergeCell ref="D214:K214"/>
    <mergeCell ref="M214:P214"/>
    <mergeCell ref="D215:G215"/>
    <mergeCell ref="D158:E158"/>
    <mergeCell ref="F158:G158"/>
    <mergeCell ref="H158:I158"/>
    <mergeCell ref="J158:K158"/>
    <mergeCell ref="D183:K183"/>
    <mergeCell ref="M183:P183"/>
    <mergeCell ref="D184:G184"/>
    <mergeCell ref="H184:K184"/>
    <mergeCell ref="T192:Y192"/>
    <mergeCell ref="E195:G195"/>
    <mergeCell ref="I195:K195"/>
    <mergeCell ref="M195:O195"/>
    <mergeCell ref="H215:K215"/>
    <mergeCell ref="D59:K59"/>
    <mergeCell ref="M59:P59"/>
    <mergeCell ref="D60:G60"/>
    <mergeCell ref="H60:K60"/>
    <mergeCell ref="E73:G73"/>
    <mergeCell ref="I73:K73"/>
    <mergeCell ref="M73:O73"/>
    <mergeCell ref="E75:G75"/>
    <mergeCell ref="E179:G179"/>
    <mergeCell ref="I179:K179"/>
    <mergeCell ref="M179:O179"/>
    <mergeCell ref="E180:G180"/>
    <mergeCell ref="I180:K180"/>
    <mergeCell ref="M180:O180"/>
    <mergeCell ref="D140:K140"/>
    <mergeCell ref="M140:P140"/>
    <mergeCell ref="I75:K75"/>
    <mergeCell ref="M75:O75"/>
    <mergeCell ref="E28:G28"/>
    <mergeCell ref="I28:K28"/>
    <mergeCell ref="E29:G29"/>
    <mergeCell ref="I29:K29"/>
    <mergeCell ref="M29:O29"/>
    <mergeCell ref="E30:G30"/>
    <mergeCell ref="I30:K30"/>
    <mergeCell ref="M30:O30"/>
    <mergeCell ref="E74:G74"/>
    <mergeCell ref="I74:K74"/>
    <mergeCell ref="M74:O74"/>
    <mergeCell ref="D150:K150"/>
    <mergeCell ref="M150:P150"/>
    <mergeCell ref="D151:G151"/>
    <mergeCell ref="H151:K151"/>
    <mergeCell ref="E77:G77"/>
    <mergeCell ref="I77:K77"/>
    <mergeCell ref="M77:O77"/>
    <mergeCell ref="E76:G76"/>
    <mergeCell ref="I76:K76"/>
    <mergeCell ref="M76:O76"/>
    <mergeCell ref="D80:K80"/>
    <mergeCell ref="M80:P80"/>
    <mergeCell ref="D81:G81"/>
    <mergeCell ref="H81:K81"/>
    <mergeCell ref="T141:Y141"/>
    <mergeCell ref="C124:D124"/>
    <mergeCell ref="D141:G141"/>
    <mergeCell ref="H141:K141"/>
    <mergeCell ref="D89:K89"/>
    <mergeCell ref="M89:P89"/>
    <mergeCell ref="T89:Y89"/>
    <mergeCell ref="D90:G90"/>
    <mergeCell ref="H90:K90"/>
    <mergeCell ref="D130:K130"/>
    <mergeCell ref="M130:P130"/>
    <mergeCell ref="D131:G131"/>
    <mergeCell ref="H131:K131"/>
    <mergeCell ref="T42:Y42"/>
    <mergeCell ref="D43:G43"/>
    <mergeCell ref="H43:K43"/>
    <mergeCell ref="D50:K50"/>
    <mergeCell ref="M50:P50"/>
    <mergeCell ref="D51:G51"/>
    <mergeCell ref="H51:K51"/>
    <mergeCell ref="D34:K34"/>
    <mergeCell ref="M34:P34"/>
    <mergeCell ref="D35:G35"/>
    <mergeCell ref="H35:K35"/>
    <mergeCell ref="D42:K42"/>
    <mergeCell ref="M42:P42"/>
    <mergeCell ref="E26:G26"/>
    <mergeCell ref="I26:K26"/>
    <mergeCell ref="M26:O26"/>
    <mergeCell ref="E27:G27"/>
    <mergeCell ref="I27:K27"/>
    <mergeCell ref="M27:O27"/>
    <mergeCell ref="A1:B1"/>
    <mergeCell ref="A16:B16"/>
    <mergeCell ref="E25:G25"/>
    <mergeCell ref="I25:K25"/>
    <mergeCell ref="M25:O25"/>
    <mergeCell ref="E7:G7"/>
    <mergeCell ref="E9:G9"/>
    <mergeCell ref="E11:G11"/>
    <mergeCell ref="E12:G12"/>
    <mergeCell ref="E10:G10"/>
    <mergeCell ref="C13:G13"/>
    <mergeCell ref="C2:G2"/>
    <mergeCell ref="C3:G3"/>
    <mergeCell ref="C4:G4"/>
    <mergeCell ref="C5:G5"/>
    <mergeCell ref="E6:G6"/>
    <mergeCell ref="E8:G8"/>
  </mergeCells>
  <conditionalFormatting sqref="D136:K136 M136:P136">
    <cfRule type="cellIs" dxfId="65" priority="20" operator="lessThan">
      <formula>0</formula>
    </cfRule>
  </conditionalFormatting>
  <conditionalFormatting sqref="D419:K430 M419:P430">
    <cfRule type="cellIs" dxfId="64" priority="16" operator="lessThan">
      <formula>0</formula>
    </cfRule>
  </conditionalFormatting>
  <conditionalFormatting sqref="D448:K448 M448:P448">
    <cfRule type="cellIs" dxfId="63" priority="14" operator="lessThan">
      <formula>0</formula>
    </cfRule>
  </conditionalFormatting>
  <conditionalFormatting sqref="D514:K517 M514:P517">
    <cfRule type="cellIs" dxfId="62" priority="3" operator="lessThan">
      <formula>0</formula>
    </cfRule>
  </conditionalFormatting>
  <conditionalFormatting sqref="D519:K520 M519:P520">
    <cfRule type="cellIs" dxfId="61" priority="9" operator="lessThan">
      <formula>0</formula>
    </cfRule>
  </conditionalFormatting>
  <conditionalFormatting sqref="D528:K531 M528:P531">
    <cfRule type="cellIs" dxfId="60" priority="4" operator="lessThan">
      <formula>0</formula>
    </cfRule>
  </conditionalFormatting>
  <conditionalFormatting sqref="D533:K534 M533:P534">
    <cfRule type="cellIs" dxfId="59" priority="5" operator="lessThan">
      <formula>0</formula>
    </cfRule>
  </conditionalFormatting>
  <conditionalFormatting sqref="D536:K537 M536:P537">
    <cfRule type="cellIs" dxfId="58" priority="6" operator="lessThan">
      <formula>0</formula>
    </cfRule>
  </conditionalFormatting>
  <conditionalFormatting sqref="D540:K543 M540:P543">
    <cfRule type="cellIs" dxfId="57" priority="7" operator="lessThan">
      <formula>0</formula>
    </cfRule>
  </conditionalFormatting>
  <conditionalFormatting sqref="D590:K595 M590:P595">
    <cfRule type="cellIs" dxfId="56" priority="1" operator="lessThan">
      <formula>0</formula>
    </cfRule>
  </conditionalFormatting>
  <conditionalFormatting sqref="D603:K606 M603:P606">
    <cfRule type="cellIs" dxfId="55" priority="2" operator="lessThan">
      <formula>0</formula>
    </cfRule>
  </conditionalFormatting>
  <conditionalFormatting sqref="D412:P412">
    <cfRule type="cellIs" dxfId="54" priority="15" operator="lessThan">
      <formula>0</formula>
    </cfRule>
  </conditionalFormatting>
  <conditionalFormatting sqref="E419:K419">
    <cfRule type="cellIs" dxfId="53" priority="17" operator="lessThan">
      <formula>0</formula>
    </cfRule>
  </conditionalFormatting>
  <conditionalFormatting sqref="E528:K529">
    <cfRule type="cellIs" dxfId="52" priority="8" operator="lessThan">
      <formula>0</formula>
    </cfRule>
  </conditionalFormatting>
  <conditionalFormatting sqref="E533:K533">
    <cfRule type="cellIs" dxfId="51" priority="10" operator="lessThan">
      <formula>0</formula>
    </cfRule>
  </conditionalFormatting>
  <conditionalFormatting sqref="E540:K542">
    <cfRule type="cellIs" dxfId="50" priority="11" operator="lessThan">
      <formula>0</formula>
    </cfRule>
  </conditionalFormatting>
  <conditionalFormatting sqref="H96:P96">
    <cfRule type="cellIs" dxfId="49" priority="21" operator="greaterThan">
      <formula>0.2</formula>
    </cfRule>
  </conditionalFormatting>
  <conditionalFormatting sqref="L416:L430">
    <cfRule type="cellIs" dxfId="48" priority="13" operator="lessThan">
      <formula>0</formula>
    </cfRule>
  </conditionalFormatting>
  <conditionalFormatting sqref="L434:L448">
    <cfRule type="cellIs" dxfId="47" priority="12" operator="lessThan">
      <formula>0</formula>
    </cfRule>
  </conditionalFormatting>
  <conditionalFormatting sqref="M156:P156">
    <cfRule type="cellIs" dxfId="46" priority="18" operator="lessThan">
      <formula>0</formula>
    </cfRule>
  </conditionalFormatting>
  <dataValidations count="3">
    <dataValidation type="list" allowBlank="1" showInputMessage="1" showErrorMessage="1" sqref="D122" xr:uid="{60BA93F8-DAFB-46D3-AB1F-894477EF6BD7}">
      <formula1>$D$125:$D$126</formula1>
    </dataValidation>
    <dataValidation type="list" allowBlank="1" showInputMessage="1" showErrorMessage="1" sqref="D456" xr:uid="{E16AA8F3-8816-4B21-AD15-A4A24DD391FF}">
      <formula1>$G$455:$G$456</formula1>
    </dataValidation>
    <dataValidation type="list" allowBlank="1" showInputMessage="1" showErrorMessage="1" sqref="D506" xr:uid="{1E69836E-322E-4601-83C6-B8CC199F4202}">
      <formula1>$F$506:$F$507</formula1>
    </dataValidation>
  </dataValidations>
  <pageMargins left="0.7" right="0.7" top="0.75" bottom="0.75" header="0.3" footer="0.3"/>
  <pageSetup orientation="portrait" r:id="rId1"/>
  <ignoredErrors>
    <ignoredError sqref="E575 F159 H159 J159" formula="1"/>
    <ignoredError sqref="T346:U346"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B9E0B-8773-46D6-89F7-89FA2039BA88}">
  <sheetPr>
    <tabColor theme="9" tint="-0.499984740745262"/>
  </sheetPr>
  <dimension ref="A1:L75"/>
  <sheetViews>
    <sheetView workbookViewId="0">
      <selection activeCell="C5" sqref="C5"/>
    </sheetView>
  </sheetViews>
  <sheetFormatPr defaultRowHeight="15" x14ac:dyDescent="0.25"/>
  <cols>
    <col min="1" max="1" width="42.5703125" customWidth="1"/>
    <col min="2" max="2" width="20.5703125" customWidth="1"/>
    <col min="3" max="3" width="14.7109375" customWidth="1"/>
    <col min="5" max="5" width="12.5703125" customWidth="1"/>
    <col min="6" max="6" width="13.28515625" customWidth="1"/>
    <col min="7" max="7" width="13.5703125" customWidth="1"/>
    <col min="8" max="8" width="14.28515625" customWidth="1"/>
    <col min="9" max="9" width="18.28515625" customWidth="1"/>
    <col min="10" max="10" width="15.42578125" customWidth="1"/>
    <col min="11" max="11" width="11.28515625" customWidth="1"/>
    <col min="12" max="12" width="15.7109375" customWidth="1"/>
  </cols>
  <sheetData>
    <row r="1" spans="1:12" ht="24.75" thickBot="1" x14ac:dyDescent="0.45">
      <c r="A1" s="540" t="s">
        <v>278</v>
      </c>
      <c r="B1" s="541"/>
      <c r="C1" s="540"/>
      <c r="D1" s="540"/>
      <c r="E1" s="540"/>
      <c r="F1" s="540"/>
      <c r="G1" s="540"/>
      <c r="H1" s="540"/>
      <c r="I1" s="540"/>
      <c r="J1" s="540"/>
      <c r="K1" s="540"/>
      <c r="L1" s="540"/>
    </row>
    <row r="2" spans="1:12" ht="20.25" thickTop="1" x14ac:dyDescent="0.3">
      <c r="A2" s="358" t="s">
        <v>279</v>
      </c>
      <c r="B2" s="456" t="s">
        <v>215</v>
      </c>
      <c r="C2" s="450"/>
      <c r="D2" s="450"/>
      <c r="E2" s="450"/>
      <c r="F2" s="450"/>
      <c r="G2" s="450"/>
      <c r="H2" s="450"/>
      <c r="I2" s="450"/>
      <c r="J2" s="450"/>
      <c r="K2" s="450"/>
      <c r="L2" s="450"/>
    </row>
    <row r="3" spans="1:12" x14ac:dyDescent="0.25">
      <c r="A3" s="126" t="s">
        <v>280</v>
      </c>
      <c r="B3" s="457">
        <v>46388</v>
      </c>
      <c r="C3" s="542" t="s">
        <v>281</v>
      </c>
      <c r="D3" s="517"/>
      <c r="E3" s="517"/>
      <c r="F3" s="517"/>
      <c r="G3" s="517"/>
      <c r="H3" s="517"/>
      <c r="I3" s="517"/>
      <c r="J3" s="517"/>
      <c r="K3" s="517"/>
      <c r="L3" s="517"/>
    </row>
    <row r="4" spans="1:12" x14ac:dyDescent="0.25">
      <c r="A4" s="126" t="s">
        <v>282</v>
      </c>
      <c r="B4" s="458">
        <v>100</v>
      </c>
      <c r="C4" s="542" t="s">
        <v>283</v>
      </c>
      <c r="D4" s="517"/>
      <c r="E4" s="517"/>
      <c r="F4" s="517"/>
      <c r="G4" s="517"/>
      <c r="H4" s="517"/>
      <c r="I4" s="517"/>
      <c r="J4" s="517"/>
      <c r="K4" s="517"/>
      <c r="L4" s="517"/>
    </row>
    <row r="5" spans="1:12" x14ac:dyDescent="0.25">
      <c r="A5" s="81" t="s">
        <v>284</v>
      </c>
      <c r="B5" s="459">
        <v>0.05</v>
      </c>
    </row>
    <row r="6" spans="1:12" x14ac:dyDescent="0.25">
      <c r="A6" s="81" t="s">
        <v>285</v>
      </c>
      <c r="B6" s="459">
        <v>0.3</v>
      </c>
    </row>
    <row r="7" spans="1:12" x14ac:dyDescent="0.25">
      <c r="A7" s="81" t="s">
        <v>286</v>
      </c>
      <c r="B7" s="459">
        <v>0.06</v>
      </c>
    </row>
    <row r="8" spans="1:12" x14ac:dyDescent="0.25">
      <c r="A8" s="81" t="s">
        <v>287</v>
      </c>
      <c r="B8" s="459">
        <v>0.02</v>
      </c>
    </row>
    <row r="9" spans="1:12" ht="30" x14ac:dyDescent="0.25">
      <c r="A9" s="126" t="s">
        <v>288</v>
      </c>
      <c r="B9" s="459">
        <v>0.18</v>
      </c>
    </row>
    <row r="10" spans="1:12" x14ac:dyDescent="0.25">
      <c r="A10" s="81" t="s">
        <v>289</v>
      </c>
      <c r="B10" s="459">
        <f>1-B9</f>
        <v>0.82000000000000006</v>
      </c>
    </row>
    <row r="11" spans="1:12" x14ac:dyDescent="0.25">
      <c r="A11" s="81" t="s">
        <v>290</v>
      </c>
      <c r="B11" s="459">
        <v>0.12</v>
      </c>
    </row>
    <row r="12" spans="1:12" x14ac:dyDescent="0.25">
      <c r="A12" s="81" t="s">
        <v>291</v>
      </c>
      <c r="B12" s="459">
        <f>1-B11</f>
        <v>0.88</v>
      </c>
    </row>
    <row r="13" spans="1:12" x14ac:dyDescent="0.25">
      <c r="A13" s="543" t="s">
        <v>292</v>
      </c>
      <c r="B13" s="544"/>
    </row>
    <row r="14" spans="1:12" ht="18.75" x14ac:dyDescent="0.3">
      <c r="A14" s="539" t="s">
        <v>293</v>
      </c>
      <c r="B14" s="539"/>
      <c r="C14" s="539"/>
      <c r="D14" s="539"/>
      <c r="E14" s="539"/>
      <c r="F14" s="539"/>
      <c r="G14" s="539"/>
      <c r="H14" s="539"/>
      <c r="I14" s="539"/>
      <c r="J14" s="539"/>
      <c r="K14" s="539"/>
      <c r="L14" s="539"/>
    </row>
    <row r="15" spans="1:12" x14ac:dyDescent="0.25">
      <c r="A15" s="81" t="s">
        <v>294</v>
      </c>
      <c r="B15" s="81" t="s">
        <v>295</v>
      </c>
      <c r="C15" s="81" t="s">
        <v>296</v>
      </c>
      <c r="D15" s="81" t="s">
        <v>297</v>
      </c>
      <c r="E15" s="81" t="s">
        <v>298</v>
      </c>
      <c r="F15" s="81" t="s">
        <v>299</v>
      </c>
      <c r="G15" s="81" t="s">
        <v>300</v>
      </c>
      <c r="H15" s="81" t="s">
        <v>301</v>
      </c>
      <c r="I15" s="81" t="s">
        <v>302</v>
      </c>
      <c r="J15" s="81" t="s">
        <v>303</v>
      </c>
      <c r="K15" s="81" t="s">
        <v>304</v>
      </c>
      <c r="L15" s="81" t="s">
        <v>305</v>
      </c>
    </row>
    <row r="16" spans="1:12" x14ac:dyDescent="0.25">
      <c r="A16" s="451">
        <f>B3</f>
        <v>46388</v>
      </c>
      <c r="B16" s="81">
        <f>Leads_Start</f>
        <v>100</v>
      </c>
      <c r="C16" s="452">
        <f t="shared" ref="C16:C47" si="0">B16*Lead_to_Free</f>
        <v>30</v>
      </c>
      <c r="D16" s="452">
        <f t="shared" ref="D16:D47" si="1">B16*Lead_to_Pro</f>
        <v>6</v>
      </c>
      <c r="E16" s="452">
        <f t="shared" ref="E16:E47" si="2">B16*Lead_to_Prem</f>
        <v>2</v>
      </c>
      <c r="F16" s="452">
        <f t="shared" ref="F16:F47" si="3">IFERROR( _xlfn.XLOOKUP(EDATE(A16,-12), $A:$A, $D:$D, 0) * Retention_Pro, 0)</f>
        <v>0</v>
      </c>
      <c r="G16" s="452">
        <f t="shared" ref="G16:G47" si="4">IFERROR( _xlfn.XLOOKUP(EDATE(A16,-12), $A:$A, $E:$E, 0) * Retention_Prem, 0)</f>
        <v>0</v>
      </c>
      <c r="H16" s="452">
        <f>D16+F16</f>
        <v>6</v>
      </c>
      <c r="I16" s="452">
        <f>E16+G16</f>
        <v>2</v>
      </c>
      <c r="J16" s="452">
        <f>C16</f>
        <v>30</v>
      </c>
      <c r="K16" s="452">
        <f>D16</f>
        <v>6</v>
      </c>
      <c r="L16" s="452">
        <f>E16</f>
        <v>2</v>
      </c>
    </row>
    <row r="17" spans="1:12" x14ac:dyDescent="0.25">
      <c r="A17" s="451">
        <f>EDATE(A16,1)</f>
        <v>46419</v>
      </c>
      <c r="B17" s="452">
        <f t="shared" ref="B17:B48" si="5">B16*(1+MoM_Growth)</f>
        <v>105</v>
      </c>
      <c r="C17" s="452">
        <f t="shared" si="0"/>
        <v>31.5</v>
      </c>
      <c r="D17" s="452">
        <f t="shared" si="1"/>
        <v>6.3</v>
      </c>
      <c r="E17" s="452">
        <f t="shared" si="2"/>
        <v>2.1</v>
      </c>
      <c r="F17" s="452">
        <f t="shared" si="3"/>
        <v>0</v>
      </c>
      <c r="G17" s="452">
        <f t="shared" si="4"/>
        <v>0</v>
      </c>
      <c r="H17" s="452">
        <f t="shared" ref="H17:H75" si="6">D17+F17</f>
        <v>6.3</v>
      </c>
      <c r="I17" s="452">
        <f t="shared" ref="I17:I75" si="7">E17+G17</f>
        <v>2.1</v>
      </c>
      <c r="J17" s="452">
        <f>C17+J16</f>
        <v>61.5</v>
      </c>
      <c r="K17" s="452">
        <f t="shared" ref="K17:K48" si="8">K16+D17-IFERROR(_xlfn.XLOOKUP(EDATE(A17,-12),$A:$A,$D:$D,0)-F17, 0)</f>
        <v>12.3</v>
      </c>
      <c r="L17" s="452">
        <f t="shared" ref="L17:L48" si="9">L16 + E17 - IFERROR(_xlfn.XLOOKUP(EDATE(A17,-12),$A:$A,$E:$E,0) - G17, 0)</f>
        <v>4.0999999999999996</v>
      </c>
    </row>
    <row r="18" spans="1:12" x14ac:dyDescent="0.25">
      <c r="A18" s="451">
        <f t="shared" ref="A18:A75" si="10">EDATE(A17,1)</f>
        <v>46447</v>
      </c>
      <c r="B18" s="452">
        <f t="shared" si="5"/>
        <v>110.25</v>
      </c>
      <c r="C18" s="452">
        <f t="shared" si="0"/>
        <v>33.074999999999996</v>
      </c>
      <c r="D18" s="452">
        <f t="shared" si="1"/>
        <v>6.6149999999999993</v>
      </c>
      <c r="E18" s="452">
        <f t="shared" si="2"/>
        <v>2.2050000000000001</v>
      </c>
      <c r="F18" s="452">
        <f t="shared" si="3"/>
        <v>0</v>
      </c>
      <c r="G18" s="452">
        <f t="shared" si="4"/>
        <v>0</v>
      </c>
      <c r="H18" s="452">
        <f t="shared" si="6"/>
        <v>6.6149999999999993</v>
      </c>
      <c r="I18" s="452">
        <f t="shared" si="7"/>
        <v>2.2050000000000001</v>
      </c>
      <c r="J18" s="452">
        <f t="shared" ref="J18:J75" si="11">C18+J17</f>
        <v>94.574999999999989</v>
      </c>
      <c r="K18" s="452">
        <f t="shared" si="8"/>
        <v>18.914999999999999</v>
      </c>
      <c r="L18" s="452">
        <f t="shared" si="9"/>
        <v>6.3049999999999997</v>
      </c>
    </row>
    <row r="19" spans="1:12" x14ac:dyDescent="0.25">
      <c r="A19" s="451">
        <f t="shared" si="10"/>
        <v>46478</v>
      </c>
      <c r="B19" s="452">
        <f t="shared" si="5"/>
        <v>115.7625</v>
      </c>
      <c r="C19" s="452">
        <f t="shared" si="0"/>
        <v>34.728749999999998</v>
      </c>
      <c r="D19" s="452">
        <f t="shared" si="1"/>
        <v>6.9457500000000003</v>
      </c>
      <c r="E19" s="452">
        <f t="shared" si="2"/>
        <v>2.3152500000000003</v>
      </c>
      <c r="F19" s="452">
        <f t="shared" si="3"/>
        <v>0</v>
      </c>
      <c r="G19" s="452">
        <f t="shared" si="4"/>
        <v>0</v>
      </c>
      <c r="H19" s="452">
        <f t="shared" si="6"/>
        <v>6.9457500000000003</v>
      </c>
      <c r="I19" s="452">
        <f t="shared" si="7"/>
        <v>2.3152500000000003</v>
      </c>
      <c r="J19" s="452">
        <f t="shared" si="11"/>
        <v>129.30374999999998</v>
      </c>
      <c r="K19" s="452">
        <f t="shared" si="8"/>
        <v>25.860749999999999</v>
      </c>
      <c r="L19" s="452">
        <f t="shared" si="9"/>
        <v>8.6202500000000004</v>
      </c>
    </row>
    <row r="20" spans="1:12" x14ac:dyDescent="0.25">
      <c r="A20" s="451">
        <f t="shared" si="10"/>
        <v>46508</v>
      </c>
      <c r="B20" s="452">
        <f t="shared" si="5"/>
        <v>121.55062500000001</v>
      </c>
      <c r="C20" s="452">
        <f t="shared" si="0"/>
        <v>36.465187499999999</v>
      </c>
      <c r="D20" s="452">
        <f t="shared" si="1"/>
        <v>7.2930375000000005</v>
      </c>
      <c r="E20" s="452">
        <f t="shared" si="2"/>
        <v>2.4310125000000005</v>
      </c>
      <c r="F20" s="452">
        <f t="shared" si="3"/>
        <v>0</v>
      </c>
      <c r="G20" s="452">
        <f t="shared" si="4"/>
        <v>0</v>
      </c>
      <c r="H20" s="452">
        <f t="shared" si="6"/>
        <v>7.2930375000000005</v>
      </c>
      <c r="I20" s="452">
        <f t="shared" si="7"/>
        <v>2.4310125000000005</v>
      </c>
      <c r="J20" s="452">
        <f t="shared" si="11"/>
        <v>165.76893749999999</v>
      </c>
      <c r="K20" s="452">
        <f t="shared" si="8"/>
        <v>33.1537875</v>
      </c>
      <c r="L20" s="452">
        <f t="shared" si="9"/>
        <v>11.0512625</v>
      </c>
    </row>
    <row r="21" spans="1:12" x14ac:dyDescent="0.25">
      <c r="A21" s="451">
        <f t="shared" si="10"/>
        <v>46539</v>
      </c>
      <c r="B21" s="452">
        <f t="shared" si="5"/>
        <v>127.62815625000002</v>
      </c>
      <c r="C21" s="452">
        <f t="shared" si="0"/>
        <v>38.288446875000005</v>
      </c>
      <c r="D21" s="452">
        <f t="shared" si="1"/>
        <v>7.6576893750000004</v>
      </c>
      <c r="E21" s="452">
        <f t="shared" si="2"/>
        <v>2.5525631250000003</v>
      </c>
      <c r="F21" s="452">
        <f t="shared" si="3"/>
        <v>0</v>
      </c>
      <c r="G21" s="452">
        <f t="shared" si="4"/>
        <v>0</v>
      </c>
      <c r="H21" s="452">
        <f t="shared" si="6"/>
        <v>7.6576893750000004</v>
      </c>
      <c r="I21" s="452">
        <f t="shared" si="7"/>
        <v>2.5525631250000003</v>
      </c>
      <c r="J21" s="452">
        <f t="shared" si="11"/>
        <v>204.057384375</v>
      </c>
      <c r="K21" s="452">
        <f t="shared" si="8"/>
        <v>40.811476874999997</v>
      </c>
      <c r="L21" s="452">
        <f t="shared" si="9"/>
        <v>13.603825625000001</v>
      </c>
    </row>
    <row r="22" spans="1:12" x14ac:dyDescent="0.25">
      <c r="A22" s="451">
        <f t="shared" si="10"/>
        <v>46569</v>
      </c>
      <c r="B22" s="452">
        <f t="shared" si="5"/>
        <v>134.00956406250003</v>
      </c>
      <c r="C22" s="452">
        <f t="shared" si="0"/>
        <v>40.20286921875001</v>
      </c>
      <c r="D22" s="452">
        <f t="shared" si="1"/>
        <v>8.0405738437500016</v>
      </c>
      <c r="E22" s="452">
        <f t="shared" si="2"/>
        <v>2.6801912812500008</v>
      </c>
      <c r="F22" s="452">
        <f t="shared" si="3"/>
        <v>0</v>
      </c>
      <c r="G22" s="452">
        <f t="shared" si="4"/>
        <v>0</v>
      </c>
      <c r="H22" s="452">
        <f t="shared" si="6"/>
        <v>8.0405738437500016</v>
      </c>
      <c r="I22" s="452">
        <f t="shared" si="7"/>
        <v>2.6801912812500008</v>
      </c>
      <c r="J22" s="452">
        <f t="shared" si="11"/>
        <v>244.26025359375001</v>
      </c>
      <c r="K22" s="452">
        <f t="shared" si="8"/>
        <v>48.85205071875</v>
      </c>
      <c r="L22" s="452">
        <f t="shared" si="9"/>
        <v>16.284016906250002</v>
      </c>
    </row>
    <row r="23" spans="1:12" x14ac:dyDescent="0.25">
      <c r="A23" s="451">
        <f t="shared" si="10"/>
        <v>46600</v>
      </c>
      <c r="B23" s="452">
        <f t="shared" si="5"/>
        <v>140.71004226562505</v>
      </c>
      <c r="C23" s="452">
        <f t="shared" si="0"/>
        <v>42.213012679687516</v>
      </c>
      <c r="D23" s="452">
        <f t="shared" si="1"/>
        <v>8.4426025359375032</v>
      </c>
      <c r="E23" s="452">
        <f t="shared" si="2"/>
        <v>2.8142008453125009</v>
      </c>
      <c r="F23" s="452">
        <f t="shared" si="3"/>
        <v>0</v>
      </c>
      <c r="G23" s="452">
        <f t="shared" si="4"/>
        <v>0</v>
      </c>
      <c r="H23" s="452">
        <f t="shared" si="6"/>
        <v>8.4426025359375032</v>
      </c>
      <c r="I23" s="452">
        <f t="shared" si="7"/>
        <v>2.8142008453125009</v>
      </c>
      <c r="J23" s="452">
        <f t="shared" si="11"/>
        <v>286.4732662734375</v>
      </c>
      <c r="K23" s="452">
        <f t="shared" si="8"/>
        <v>57.294653254687503</v>
      </c>
      <c r="L23" s="452">
        <f t="shared" si="9"/>
        <v>19.098217751562505</v>
      </c>
    </row>
    <row r="24" spans="1:12" x14ac:dyDescent="0.25">
      <c r="A24" s="451">
        <f t="shared" si="10"/>
        <v>46631</v>
      </c>
      <c r="B24" s="452">
        <f t="shared" si="5"/>
        <v>147.74554437890632</v>
      </c>
      <c r="C24" s="452">
        <f t="shared" si="0"/>
        <v>44.323663313671894</v>
      </c>
      <c r="D24" s="452">
        <f t="shared" si="1"/>
        <v>8.8647326627343794</v>
      </c>
      <c r="E24" s="452">
        <f t="shared" si="2"/>
        <v>2.9549108875781265</v>
      </c>
      <c r="F24" s="452">
        <f t="shared" si="3"/>
        <v>0</v>
      </c>
      <c r="G24" s="452">
        <f t="shared" si="4"/>
        <v>0</v>
      </c>
      <c r="H24" s="452">
        <f t="shared" si="6"/>
        <v>8.8647326627343794</v>
      </c>
      <c r="I24" s="452">
        <f t="shared" si="7"/>
        <v>2.9549108875781265</v>
      </c>
      <c r="J24" s="452">
        <f t="shared" si="11"/>
        <v>330.79692958710939</v>
      </c>
      <c r="K24" s="452">
        <f t="shared" si="8"/>
        <v>66.159385917421886</v>
      </c>
      <c r="L24" s="452">
        <f t="shared" si="9"/>
        <v>22.053128639140631</v>
      </c>
    </row>
    <row r="25" spans="1:12" x14ac:dyDescent="0.25">
      <c r="A25" s="451">
        <f t="shared" si="10"/>
        <v>46661</v>
      </c>
      <c r="B25" s="452">
        <f t="shared" si="5"/>
        <v>155.13282159785163</v>
      </c>
      <c r="C25" s="452">
        <f t="shared" si="0"/>
        <v>46.539846479355489</v>
      </c>
      <c r="D25" s="452">
        <f t="shared" si="1"/>
        <v>9.3079692958710982</v>
      </c>
      <c r="E25" s="452">
        <f t="shared" si="2"/>
        <v>3.1026564319570329</v>
      </c>
      <c r="F25" s="452">
        <f t="shared" si="3"/>
        <v>0</v>
      </c>
      <c r="G25" s="452">
        <f t="shared" si="4"/>
        <v>0</v>
      </c>
      <c r="H25" s="452">
        <f t="shared" si="6"/>
        <v>9.3079692958710982</v>
      </c>
      <c r="I25" s="452">
        <f t="shared" si="7"/>
        <v>3.1026564319570329</v>
      </c>
      <c r="J25" s="452">
        <f t="shared" si="11"/>
        <v>377.33677606646489</v>
      </c>
      <c r="K25" s="452">
        <f t="shared" si="8"/>
        <v>75.46735521329299</v>
      </c>
      <c r="L25" s="452">
        <f t="shared" si="9"/>
        <v>25.155785071097664</v>
      </c>
    </row>
    <row r="26" spans="1:12" x14ac:dyDescent="0.25">
      <c r="A26" s="451">
        <f t="shared" si="10"/>
        <v>46692</v>
      </c>
      <c r="B26" s="452">
        <f t="shared" si="5"/>
        <v>162.88946267774421</v>
      </c>
      <c r="C26" s="452">
        <f t="shared" si="0"/>
        <v>48.866838803323262</v>
      </c>
      <c r="D26" s="452">
        <f t="shared" si="1"/>
        <v>9.7733677606646516</v>
      </c>
      <c r="E26" s="452">
        <f t="shared" si="2"/>
        <v>3.257789253554884</v>
      </c>
      <c r="F26" s="452">
        <f t="shared" si="3"/>
        <v>0</v>
      </c>
      <c r="G26" s="452">
        <f t="shared" si="4"/>
        <v>0</v>
      </c>
      <c r="H26" s="452">
        <f t="shared" si="6"/>
        <v>9.7733677606646516</v>
      </c>
      <c r="I26" s="452">
        <f t="shared" si="7"/>
        <v>3.257789253554884</v>
      </c>
      <c r="J26" s="452">
        <f t="shared" si="11"/>
        <v>426.20361486978817</v>
      </c>
      <c r="K26" s="452">
        <f t="shared" si="8"/>
        <v>85.240722973957645</v>
      </c>
      <c r="L26" s="452">
        <f t="shared" si="9"/>
        <v>28.413574324652547</v>
      </c>
    </row>
    <row r="27" spans="1:12" x14ac:dyDescent="0.25">
      <c r="A27" s="451">
        <f t="shared" si="10"/>
        <v>46722</v>
      </c>
      <c r="B27" s="452">
        <f t="shared" si="5"/>
        <v>171.03393581163144</v>
      </c>
      <c r="C27" s="452">
        <f t="shared" si="0"/>
        <v>51.310180743489433</v>
      </c>
      <c r="D27" s="452">
        <f t="shared" si="1"/>
        <v>10.262036148697886</v>
      </c>
      <c r="E27" s="452">
        <f t="shared" si="2"/>
        <v>3.4206787162326289</v>
      </c>
      <c r="F27" s="452">
        <f t="shared" si="3"/>
        <v>0</v>
      </c>
      <c r="G27" s="452">
        <f t="shared" si="4"/>
        <v>0</v>
      </c>
      <c r="H27" s="452">
        <f t="shared" si="6"/>
        <v>10.262036148697886</v>
      </c>
      <c r="I27" s="452">
        <f t="shared" si="7"/>
        <v>3.4206787162326289</v>
      </c>
      <c r="J27" s="452">
        <f t="shared" si="11"/>
        <v>477.51379561327758</v>
      </c>
      <c r="K27" s="452">
        <f t="shared" si="8"/>
        <v>95.502759122655533</v>
      </c>
      <c r="L27" s="452">
        <f t="shared" si="9"/>
        <v>31.834253040885176</v>
      </c>
    </row>
    <row r="28" spans="1:12" x14ac:dyDescent="0.25">
      <c r="A28" s="451">
        <f t="shared" si="10"/>
        <v>46753</v>
      </c>
      <c r="B28" s="452">
        <f t="shared" si="5"/>
        <v>179.58563260221302</v>
      </c>
      <c r="C28" s="452">
        <f t="shared" si="0"/>
        <v>53.875689780663905</v>
      </c>
      <c r="D28" s="452">
        <f t="shared" si="1"/>
        <v>10.775137956132781</v>
      </c>
      <c r="E28" s="452">
        <f t="shared" si="2"/>
        <v>3.5917126520442606</v>
      </c>
      <c r="F28" s="452">
        <f t="shared" si="3"/>
        <v>4.92</v>
      </c>
      <c r="G28" s="452">
        <f t="shared" si="4"/>
        <v>1.76</v>
      </c>
      <c r="H28" s="452">
        <f t="shared" si="6"/>
        <v>15.695137956132781</v>
      </c>
      <c r="I28" s="452">
        <f t="shared" si="7"/>
        <v>5.3517126520442604</v>
      </c>
      <c r="J28" s="452">
        <f t="shared" si="11"/>
        <v>531.38948539394153</v>
      </c>
      <c r="K28" s="452">
        <f t="shared" si="8"/>
        <v>105.19789707878832</v>
      </c>
      <c r="L28" s="452">
        <f t="shared" si="9"/>
        <v>35.185965692929436</v>
      </c>
    </row>
    <row r="29" spans="1:12" x14ac:dyDescent="0.25">
      <c r="A29" s="451">
        <f t="shared" si="10"/>
        <v>46784</v>
      </c>
      <c r="B29" s="452">
        <f t="shared" si="5"/>
        <v>188.56491423232367</v>
      </c>
      <c r="C29" s="452">
        <f t="shared" si="0"/>
        <v>56.569474269697103</v>
      </c>
      <c r="D29" s="452">
        <f t="shared" si="1"/>
        <v>11.31389485393942</v>
      </c>
      <c r="E29" s="452">
        <f t="shared" si="2"/>
        <v>3.7712982846464733</v>
      </c>
      <c r="F29" s="452">
        <f t="shared" si="3"/>
        <v>5.1660000000000004</v>
      </c>
      <c r="G29" s="452">
        <f t="shared" si="4"/>
        <v>1.8480000000000001</v>
      </c>
      <c r="H29" s="452">
        <f t="shared" si="6"/>
        <v>16.47989485393942</v>
      </c>
      <c r="I29" s="452">
        <f t="shared" si="7"/>
        <v>5.6192982846464732</v>
      </c>
      <c r="J29" s="452">
        <f t="shared" si="11"/>
        <v>587.95895966363867</v>
      </c>
      <c r="K29" s="452">
        <f t="shared" si="8"/>
        <v>115.37779193272773</v>
      </c>
      <c r="L29" s="452">
        <f t="shared" si="9"/>
        <v>38.705263977575903</v>
      </c>
    </row>
    <row r="30" spans="1:12" x14ac:dyDescent="0.25">
      <c r="A30" s="451">
        <f t="shared" si="10"/>
        <v>46813</v>
      </c>
      <c r="B30" s="452">
        <f t="shared" si="5"/>
        <v>197.99315994393987</v>
      </c>
      <c r="C30" s="452">
        <f t="shared" si="0"/>
        <v>59.397947983181957</v>
      </c>
      <c r="D30" s="452">
        <f t="shared" si="1"/>
        <v>11.879589596636391</v>
      </c>
      <c r="E30" s="452">
        <f t="shared" si="2"/>
        <v>3.9598631988787973</v>
      </c>
      <c r="F30" s="452">
        <f t="shared" si="3"/>
        <v>5.4242999999999997</v>
      </c>
      <c r="G30" s="452">
        <f t="shared" si="4"/>
        <v>1.9404000000000001</v>
      </c>
      <c r="H30" s="452">
        <f t="shared" si="6"/>
        <v>17.303889596636392</v>
      </c>
      <c r="I30" s="452">
        <f t="shared" si="7"/>
        <v>5.9002631988787977</v>
      </c>
      <c r="J30" s="452">
        <f t="shared" si="11"/>
        <v>647.35690764682067</v>
      </c>
      <c r="K30" s="452">
        <f t="shared" si="8"/>
        <v>126.06668152936413</v>
      </c>
      <c r="L30" s="452">
        <f t="shared" si="9"/>
        <v>42.400527176454702</v>
      </c>
    </row>
    <row r="31" spans="1:12" x14ac:dyDescent="0.25">
      <c r="A31" s="451">
        <f t="shared" si="10"/>
        <v>46844</v>
      </c>
      <c r="B31" s="452">
        <f t="shared" si="5"/>
        <v>207.89281794113688</v>
      </c>
      <c r="C31" s="452">
        <f t="shared" si="0"/>
        <v>62.367845382341059</v>
      </c>
      <c r="D31" s="452">
        <f t="shared" si="1"/>
        <v>12.473569076468213</v>
      </c>
      <c r="E31" s="452">
        <f t="shared" si="2"/>
        <v>4.1578563588227375</v>
      </c>
      <c r="F31" s="452">
        <f t="shared" si="3"/>
        <v>5.6955150000000003</v>
      </c>
      <c r="G31" s="452">
        <f t="shared" si="4"/>
        <v>2.0374200000000005</v>
      </c>
      <c r="H31" s="452">
        <f t="shared" si="6"/>
        <v>18.169084076468213</v>
      </c>
      <c r="I31" s="452">
        <f t="shared" si="7"/>
        <v>6.1952763588227384</v>
      </c>
      <c r="J31" s="452">
        <f t="shared" si="11"/>
        <v>709.72475302916177</v>
      </c>
      <c r="K31" s="452">
        <f t="shared" si="8"/>
        <v>137.29001560583234</v>
      </c>
      <c r="L31" s="452">
        <f t="shared" si="9"/>
        <v>46.280553535277441</v>
      </c>
    </row>
    <row r="32" spans="1:12" x14ac:dyDescent="0.25">
      <c r="A32" s="451">
        <f t="shared" si="10"/>
        <v>46874</v>
      </c>
      <c r="B32" s="452">
        <f t="shared" si="5"/>
        <v>218.28745883819374</v>
      </c>
      <c r="C32" s="452">
        <f t="shared" si="0"/>
        <v>65.486237651458126</v>
      </c>
      <c r="D32" s="452">
        <f t="shared" si="1"/>
        <v>13.097247530291623</v>
      </c>
      <c r="E32" s="452">
        <f t="shared" si="2"/>
        <v>4.3657491767638748</v>
      </c>
      <c r="F32" s="452">
        <f t="shared" si="3"/>
        <v>5.9802907500000009</v>
      </c>
      <c r="G32" s="452">
        <f t="shared" si="4"/>
        <v>2.1392910000000005</v>
      </c>
      <c r="H32" s="452">
        <f t="shared" si="6"/>
        <v>19.077538280291623</v>
      </c>
      <c r="I32" s="452">
        <f t="shared" si="7"/>
        <v>6.5050401767638757</v>
      </c>
      <c r="J32" s="452">
        <f t="shared" si="11"/>
        <v>775.21099068061994</v>
      </c>
      <c r="K32" s="452">
        <f t="shared" si="8"/>
        <v>149.07451638612395</v>
      </c>
      <c r="L32" s="452">
        <f t="shared" si="9"/>
        <v>50.354581212041317</v>
      </c>
    </row>
    <row r="33" spans="1:12" x14ac:dyDescent="0.25">
      <c r="A33" s="451">
        <f t="shared" si="10"/>
        <v>46905</v>
      </c>
      <c r="B33" s="452">
        <f t="shared" si="5"/>
        <v>229.20183178010345</v>
      </c>
      <c r="C33" s="452">
        <f t="shared" si="0"/>
        <v>68.760549534031028</v>
      </c>
      <c r="D33" s="452">
        <f t="shared" si="1"/>
        <v>13.752109906806206</v>
      </c>
      <c r="E33" s="452">
        <f t="shared" si="2"/>
        <v>4.584036635602069</v>
      </c>
      <c r="F33" s="452">
        <f t="shared" si="3"/>
        <v>6.2793052875000006</v>
      </c>
      <c r="G33" s="452">
        <f t="shared" si="4"/>
        <v>2.2462555500000003</v>
      </c>
      <c r="H33" s="452">
        <f t="shared" si="6"/>
        <v>20.031415194306206</v>
      </c>
      <c r="I33" s="452">
        <f t="shared" si="7"/>
        <v>6.8302921856020689</v>
      </c>
      <c r="J33" s="452">
        <f t="shared" si="11"/>
        <v>843.97154021465099</v>
      </c>
      <c r="K33" s="452">
        <f t="shared" si="8"/>
        <v>161.44824220543015</v>
      </c>
      <c r="L33" s="452">
        <f t="shared" si="9"/>
        <v>54.632310272643387</v>
      </c>
    </row>
    <row r="34" spans="1:12" x14ac:dyDescent="0.25">
      <c r="A34" s="451">
        <f t="shared" si="10"/>
        <v>46935</v>
      </c>
      <c r="B34" s="452">
        <f t="shared" si="5"/>
        <v>240.66192336910862</v>
      </c>
      <c r="C34" s="452">
        <f t="shared" si="0"/>
        <v>72.198577010732578</v>
      </c>
      <c r="D34" s="452">
        <f t="shared" si="1"/>
        <v>14.439715402146517</v>
      </c>
      <c r="E34" s="452">
        <f t="shared" si="2"/>
        <v>4.8132384673821722</v>
      </c>
      <c r="F34" s="452">
        <f t="shared" si="3"/>
        <v>6.5932705518750021</v>
      </c>
      <c r="G34" s="452">
        <f t="shared" si="4"/>
        <v>2.3585683275000009</v>
      </c>
      <c r="H34" s="452">
        <f t="shared" si="6"/>
        <v>21.03298595402152</v>
      </c>
      <c r="I34" s="452">
        <f t="shared" si="7"/>
        <v>7.1718067948821727</v>
      </c>
      <c r="J34" s="452">
        <f t="shared" si="11"/>
        <v>916.17011722538359</v>
      </c>
      <c r="K34" s="452">
        <f t="shared" si="8"/>
        <v>174.44065431570166</v>
      </c>
      <c r="L34" s="452">
        <f t="shared" si="9"/>
        <v>59.123925786275557</v>
      </c>
    </row>
    <row r="35" spans="1:12" x14ac:dyDescent="0.25">
      <c r="A35" s="451">
        <f t="shared" si="10"/>
        <v>46966</v>
      </c>
      <c r="B35" s="452">
        <f t="shared" si="5"/>
        <v>252.69501953756406</v>
      </c>
      <c r="C35" s="452">
        <f t="shared" si="0"/>
        <v>75.808505861269211</v>
      </c>
      <c r="D35" s="452">
        <f t="shared" si="1"/>
        <v>15.161701172253844</v>
      </c>
      <c r="E35" s="452">
        <f t="shared" si="2"/>
        <v>5.0539003907512816</v>
      </c>
      <c r="F35" s="452">
        <f t="shared" si="3"/>
        <v>6.9229340794687531</v>
      </c>
      <c r="G35" s="452">
        <f t="shared" si="4"/>
        <v>2.4764967438750007</v>
      </c>
      <c r="H35" s="452">
        <f t="shared" si="6"/>
        <v>22.084635251722595</v>
      </c>
      <c r="I35" s="452">
        <f t="shared" si="7"/>
        <v>7.5303971346262824</v>
      </c>
      <c r="J35" s="452">
        <f t="shared" si="11"/>
        <v>991.97862308665276</v>
      </c>
      <c r="K35" s="452">
        <f t="shared" si="8"/>
        <v>188.08268703148678</v>
      </c>
      <c r="L35" s="452">
        <f t="shared" si="9"/>
        <v>63.840122075589342</v>
      </c>
    </row>
    <row r="36" spans="1:12" x14ac:dyDescent="0.25">
      <c r="A36" s="451">
        <f t="shared" si="10"/>
        <v>46997</v>
      </c>
      <c r="B36" s="452">
        <f t="shared" si="5"/>
        <v>265.32977051444226</v>
      </c>
      <c r="C36" s="452">
        <f t="shared" si="0"/>
        <v>79.598931154332675</v>
      </c>
      <c r="D36" s="452">
        <f t="shared" si="1"/>
        <v>15.919786230866535</v>
      </c>
      <c r="E36" s="452">
        <f t="shared" si="2"/>
        <v>5.3065954102888453</v>
      </c>
      <c r="F36" s="452">
        <f t="shared" si="3"/>
        <v>7.2690807834421918</v>
      </c>
      <c r="G36" s="452">
        <f t="shared" si="4"/>
        <v>2.6003215810687514</v>
      </c>
      <c r="H36" s="452">
        <f t="shared" si="6"/>
        <v>23.188867014308727</v>
      </c>
      <c r="I36" s="452">
        <f t="shared" si="7"/>
        <v>7.9069169913575967</v>
      </c>
      <c r="J36" s="452">
        <f t="shared" si="11"/>
        <v>1071.5775542409854</v>
      </c>
      <c r="K36" s="452">
        <f t="shared" si="8"/>
        <v>202.40682138306113</v>
      </c>
      <c r="L36" s="452">
        <f t="shared" si="9"/>
        <v>68.792128179368802</v>
      </c>
    </row>
    <row r="37" spans="1:12" x14ac:dyDescent="0.25">
      <c r="A37" s="451">
        <f t="shared" si="10"/>
        <v>47027</v>
      </c>
      <c r="B37" s="452">
        <f t="shared" si="5"/>
        <v>278.5962590401644</v>
      </c>
      <c r="C37" s="452">
        <f t="shared" si="0"/>
        <v>83.578877712049319</v>
      </c>
      <c r="D37" s="452">
        <f t="shared" si="1"/>
        <v>16.715775542409862</v>
      </c>
      <c r="E37" s="452">
        <f t="shared" si="2"/>
        <v>5.5719251808032881</v>
      </c>
      <c r="F37" s="452">
        <f t="shared" si="3"/>
        <v>7.6325348226143008</v>
      </c>
      <c r="G37" s="452">
        <f t="shared" si="4"/>
        <v>2.7303376601221889</v>
      </c>
      <c r="H37" s="452">
        <f t="shared" si="6"/>
        <v>24.348310365024162</v>
      </c>
      <c r="I37" s="452">
        <f t="shared" si="7"/>
        <v>8.3022628409254775</v>
      </c>
      <c r="J37" s="452">
        <f t="shared" si="11"/>
        <v>1155.1564319530346</v>
      </c>
      <c r="K37" s="452">
        <f t="shared" si="8"/>
        <v>217.4471624522142</v>
      </c>
      <c r="L37" s="452">
        <f t="shared" si="9"/>
        <v>73.991734588337252</v>
      </c>
    </row>
    <row r="38" spans="1:12" x14ac:dyDescent="0.25">
      <c r="A38" s="451">
        <f t="shared" si="10"/>
        <v>47058</v>
      </c>
      <c r="B38" s="452">
        <f t="shared" si="5"/>
        <v>292.5260719921726</v>
      </c>
      <c r="C38" s="452">
        <f t="shared" si="0"/>
        <v>87.757821597651784</v>
      </c>
      <c r="D38" s="452">
        <f t="shared" si="1"/>
        <v>17.551564319530357</v>
      </c>
      <c r="E38" s="452">
        <f t="shared" si="2"/>
        <v>5.850521439843452</v>
      </c>
      <c r="F38" s="452">
        <f t="shared" si="3"/>
        <v>8.0141615637450148</v>
      </c>
      <c r="G38" s="452">
        <f t="shared" si="4"/>
        <v>2.8668545431282979</v>
      </c>
      <c r="H38" s="452">
        <f t="shared" si="6"/>
        <v>25.56572588327537</v>
      </c>
      <c r="I38" s="452">
        <f t="shared" si="7"/>
        <v>8.717375982971749</v>
      </c>
      <c r="J38" s="452">
        <f t="shared" si="11"/>
        <v>1242.9142535506865</v>
      </c>
      <c r="K38" s="452">
        <f t="shared" si="8"/>
        <v>233.23952057482489</v>
      </c>
      <c r="L38" s="452">
        <f t="shared" si="9"/>
        <v>79.451321317754108</v>
      </c>
    </row>
    <row r="39" spans="1:12" x14ac:dyDescent="0.25">
      <c r="A39" s="451">
        <f t="shared" si="10"/>
        <v>47088</v>
      </c>
      <c r="B39" s="452">
        <f t="shared" si="5"/>
        <v>307.15237559178127</v>
      </c>
      <c r="C39" s="452">
        <f t="shared" si="0"/>
        <v>92.145712677534377</v>
      </c>
      <c r="D39" s="452">
        <f t="shared" si="1"/>
        <v>18.429142535506877</v>
      </c>
      <c r="E39" s="452">
        <f t="shared" si="2"/>
        <v>6.1430475118356256</v>
      </c>
      <c r="F39" s="452">
        <f t="shared" si="3"/>
        <v>8.4148696419322668</v>
      </c>
      <c r="G39" s="452">
        <f t="shared" si="4"/>
        <v>3.0101972702847135</v>
      </c>
      <c r="H39" s="452">
        <f t="shared" si="6"/>
        <v>26.844012177439144</v>
      </c>
      <c r="I39" s="452">
        <f t="shared" si="7"/>
        <v>9.1532447821203391</v>
      </c>
      <c r="J39" s="452">
        <f t="shared" si="11"/>
        <v>1335.0599662282209</v>
      </c>
      <c r="K39" s="452">
        <f t="shared" si="8"/>
        <v>249.82149660356615</v>
      </c>
      <c r="L39" s="452">
        <f t="shared" si="9"/>
        <v>85.183887383641832</v>
      </c>
    </row>
    <row r="40" spans="1:12" x14ac:dyDescent="0.25">
      <c r="A40" s="451">
        <f t="shared" si="10"/>
        <v>47119</v>
      </c>
      <c r="B40" s="452">
        <f t="shared" si="5"/>
        <v>322.50999437137034</v>
      </c>
      <c r="C40" s="452">
        <f t="shared" si="0"/>
        <v>96.752998311411105</v>
      </c>
      <c r="D40" s="452">
        <f t="shared" si="1"/>
        <v>19.350599662282221</v>
      </c>
      <c r="E40" s="452">
        <f t="shared" si="2"/>
        <v>6.4501998874274067</v>
      </c>
      <c r="F40" s="452">
        <f t="shared" si="3"/>
        <v>8.8356131240288818</v>
      </c>
      <c r="G40" s="452">
        <f t="shared" si="4"/>
        <v>3.1607071337989492</v>
      </c>
      <c r="H40" s="452">
        <f t="shared" si="6"/>
        <v>28.186212786311103</v>
      </c>
      <c r="I40" s="452">
        <f t="shared" si="7"/>
        <v>9.6109070212263568</v>
      </c>
      <c r="J40" s="452">
        <f t="shared" si="11"/>
        <v>1431.812964539632</v>
      </c>
      <c r="K40" s="452">
        <f t="shared" si="8"/>
        <v>267.23257143374451</v>
      </c>
      <c r="L40" s="452">
        <f t="shared" si="9"/>
        <v>91.20308175282392</v>
      </c>
    </row>
    <row r="41" spans="1:12" x14ac:dyDescent="0.25">
      <c r="A41" s="451">
        <f t="shared" si="10"/>
        <v>47150</v>
      </c>
      <c r="B41" s="452">
        <f t="shared" si="5"/>
        <v>338.63549408993885</v>
      </c>
      <c r="C41" s="452">
        <f t="shared" si="0"/>
        <v>101.59064822698166</v>
      </c>
      <c r="D41" s="452">
        <f t="shared" si="1"/>
        <v>20.318129645396329</v>
      </c>
      <c r="E41" s="452">
        <f t="shared" si="2"/>
        <v>6.772709881798777</v>
      </c>
      <c r="F41" s="452">
        <f t="shared" si="3"/>
        <v>9.2773937802303248</v>
      </c>
      <c r="G41" s="452">
        <f t="shared" si="4"/>
        <v>3.3187424904888965</v>
      </c>
      <c r="H41" s="452">
        <f t="shared" si="6"/>
        <v>29.595523425626652</v>
      </c>
      <c r="I41" s="452">
        <f t="shared" si="7"/>
        <v>10.091452372287673</v>
      </c>
      <c r="J41" s="452">
        <f t="shared" si="11"/>
        <v>1533.4036127666136</v>
      </c>
      <c r="K41" s="452">
        <f t="shared" si="8"/>
        <v>285.51420000543175</v>
      </c>
      <c r="L41" s="452">
        <f t="shared" si="9"/>
        <v>97.523235840465119</v>
      </c>
    </row>
    <row r="42" spans="1:12" x14ac:dyDescent="0.25">
      <c r="A42" s="451">
        <f t="shared" si="10"/>
        <v>47178</v>
      </c>
      <c r="B42" s="452">
        <f t="shared" si="5"/>
        <v>355.56726879443579</v>
      </c>
      <c r="C42" s="452">
        <f t="shared" si="0"/>
        <v>106.67018063833073</v>
      </c>
      <c r="D42" s="452">
        <f t="shared" si="1"/>
        <v>21.334036127666145</v>
      </c>
      <c r="E42" s="452">
        <f t="shared" si="2"/>
        <v>7.1113453758887157</v>
      </c>
      <c r="F42" s="452">
        <f t="shared" si="3"/>
        <v>9.7412634692418418</v>
      </c>
      <c r="G42" s="452">
        <f t="shared" si="4"/>
        <v>3.4846796150133419</v>
      </c>
      <c r="H42" s="452">
        <f t="shared" si="6"/>
        <v>31.075299596907989</v>
      </c>
      <c r="I42" s="452">
        <f t="shared" si="7"/>
        <v>10.596024990902057</v>
      </c>
      <c r="J42" s="452">
        <f t="shared" si="11"/>
        <v>1640.0737934049444</v>
      </c>
      <c r="K42" s="452">
        <f t="shared" si="8"/>
        <v>304.70991000570336</v>
      </c>
      <c r="L42" s="452">
        <f t="shared" si="9"/>
        <v>104.15939763248838</v>
      </c>
    </row>
    <row r="43" spans="1:12" x14ac:dyDescent="0.25">
      <c r="A43" s="451">
        <f t="shared" si="10"/>
        <v>47209</v>
      </c>
      <c r="B43" s="452">
        <f t="shared" si="5"/>
        <v>373.34563223415762</v>
      </c>
      <c r="C43" s="452">
        <f t="shared" si="0"/>
        <v>112.00368967024728</v>
      </c>
      <c r="D43" s="452">
        <f t="shared" si="1"/>
        <v>22.400737934049456</v>
      </c>
      <c r="E43" s="452">
        <f t="shared" si="2"/>
        <v>7.4669126446831529</v>
      </c>
      <c r="F43" s="452">
        <f t="shared" si="3"/>
        <v>10.228326642703935</v>
      </c>
      <c r="G43" s="452">
        <f t="shared" si="4"/>
        <v>3.6589135957640089</v>
      </c>
      <c r="H43" s="452">
        <f t="shared" si="6"/>
        <v>32.629064576753393</v>
      </c>
      <c r="I43" s="452">
        <f t="shared" si="7"/>
        <v>11.125826240447161</v>
      </c>
      <c r="J43" s="452">
        <f t="shared" si="11"/>
        <v>1752.0774830751916</v>
      </c>
      <c r="K43" s="452">
        <f t="shared" si="8"/>
        <v>324.86540550598852</v>
      </c>
      <c r="L43" s="452">
        <f t="shared" si="9"/>
        <v>111.12736751411279</v>
      </c>
    </row>
    <row r="44" spans="1:12" x14ac:dyDescent="0.25">
      <c r="A44" s="451">
        <f t="shared" si="10"/>
        <v>47239</v>
      </c>
      <c r="B44" s="452">
        <f t="shared" si="5"/>
        <v>392.01291384586551</v>
      </c>
      <c r="C44" s="452">
        <f t="shared" si="0"/>
        <v>117.60387415375965</v>
      </c>
      <c r="D44" s="452">
        <f t="shared" si="1"/>
        <v>23.520774830751929</v>
      </c>
      <c r="E44" s="452">
        <f t="shared" si="2"/>
        <v>7.8402582769173108</v>
      </c>
      <c r="F44" s="452">
        <f t="shared" si="3"/>
        <v>10.739742974839132</v>
      </c>
      <c r="G44" s="452">
        <f t="shared" si="4"/>
        <v>3.8418592755522099</v>
      </c>
      <c r="H44" s="452">
        <f t="shared" si="6"/>
        <v>34.260517805591064</v>
      </c>
      <c r="I44" s="452">
        <f t="shared" si="7"/>
        <v>11.682117552469521</v>
      </c>
      <c r="J44" s="452">
        <f t="shared" si="11"/>
        <v>1869.6813572289511</v>
      </c>
      <c r="K44" s="452">
        <f t="shared" si="8"/>
        <v>346.02867578128797</v>
      </c>
      <c r="L44" s="452">
        <f t="shared" si="9"/>
        <v>118.44373588981844</v>
      </c>
    </row>
    <row r="45" spans="1:12" x14ac:dyDescent="0.25">
      <c r="A45" s="451">
        <f t="shared" si="10"/>
        <v>47270</v>
      </c>
      <c r="B45" s="452">
        <f t="shared" si="5"/>
        <v>411.61355953815882</v>
      </c>
      <c r="C45" s="452">
        <f t="shared" si="0"/>
        <v>123.48406786144764</v>
      </c>
      <c r="D45" s="452">
        <f t="shared" si="1"/>
        <v>24.696813572289528</v>
      </c>
      <c r="E45" s="452">
        <f t="shared" si="2"/>
        <v>8.2322711907631767</v>
      </c>
      <c r="F45" s="452">
        <f t="shared" si="3"/>
        <v>11.276730123581089</v>
      </c>
      <c r="G45" s="452">
        <f t="shared" si="4"/>
        <v>4.0339522393298211</v>
      </c>
      <c r="H45" s="452">
        <f t="shared" si="6"/>
        <v>35.973543695870617</v>
      </c>
      <c r="I45" s="452">
        <f t="shared" si="7"/>
        <v>12.266223430092998</v>
      </c>
      <c r="J45" s="452">
        <f t="shared" si="11"/>
        <v>1993.1654250903987</v>
      </c>
      <c r="K45" s="452">
        <f t="shared" si="8"/>
        <v>368.25010957035238</v>
      </c>
      <c r="L45" s="452">
        <f t="shared" si="9"/>
        <v>126.12592268430936</v>
      </c>
    </row>
    <row r="46" spans="1:12" x14ac:dyDescent="0.25">
      <c r="A46" s="451">
        <f t="shared" si="10"/>
        <v>47300</v>
      </c>
      <c r="B46" s="452">
        <f t="shared" si="5"/>
        <v>432.19423751506679</v>
      </c>
      <c r="C46" s="452">
        <f t="shared" si="0"/>
        <v>129.65827125452003</v>
      </c>
      <c r="D46" s="452">
        <f t="shared" si="1"/>
        <v>25.931654250904007</v>
      </c>
      <c r="E46" s="452">
        <f t="shared" si="2"/>
        <v>8.6438847503013356</v>
      </c>
      <c r="F46" s="452">
        <f t="shared" si="3"/>
        <v>11.840566629760145</v>
      </c>
      <c r="G46" s="452">
        <f t="shared" si="4"/>
        <v>4.2356498512963112</v>
      </c>
      <c r="H46" s="452">
        <f t="shared" si="6"/>
        <v>37.77222088066415</v>
      </c>
      <c r="I46" s="452">
        <f t="shared" si="7"/>
        <v>12.879534601597648</v>
      </c>
      <c r="J46" s="452">
        <f t="shared" si="11"/>
        <v>2122.8236963449185</v>
      </c>
      <c r="K46" s="452">
        <f t="shared" si="8"/>
        <v>391.58261504887003</v>
      </c>
      <c r="L46" s="452">
        <f t="shared" si="9"/>
        <v>134.19221881852485</v>
      </c>
    </row>
    <row r="47" spans="1:12" x14ac:dyDescent="0.25">
      <c r="A47" s="451">
        <f t="shared" si="10"/>
        <v>47331</v>
      </c>
      <c r="B47" s="452">
        <f t="shared" si="5"/>
        <v>453.80394939082015</v>
      </c>
      <c r="C47" s="452">
        <f t="shared" si="0"/>
        <v>136.14118481724603</v>
      </c>
      <c r="D47" s="452">
        <f t="shared" si="1"/>
        <v>27.228236963449209</v>
      </c>
      <c r="E47" s="452">
        <f t="shared" si="2"/>
        <v>9.0760789878164037</v>
      </c>
      <c r="F47" s="452">
        <f t="shared" si="3"/>
        <v>12.432594961248153</v>
      </c>
      <c r="G47" s="452">
        <f t="shared" si="4"/>
        <v>4.4474323438611281</v>
      </c>
      <c r="H47" s="452">
        <f t="shared" si="6"/>
        <v>39.660831924697362</v>
      </c>
      <c r="I47" s="452">
        <f t="shared" si="7"/>
        <v>13.523511331677533</v>
      </c>
      <c r="J47" s="452">
        <f t="shared" si="11"/>
        <v>2258.9648811621646</v>
      </c>
      <c r="K47" s="452">
        <f t="shared" si="8"/>
        <v>416.08174580131356</v>
      </c>
      <c r="L47" s="452">
        <f t="shared" si="9"/>
        <v>142.66182975945111</v>
      </c>
    </row>
    <row r="48" spans="1:12" x14ac:dyDescent="0.25">
      <c r="A48" s="451">
        <f t="shared" si="10"/>
        <v>47362</v>
      </c>
      <c r="B48" s="452">
        <f t="shared" si="5"/>
        <v>476.49414686036118</v>
      </c>
      <c r="C48" s="452">
        <f t="shared" ref="C48:C75" si="12">B48*Lead_to_Free</f>
        <v>142.94824405810834</v>
      </c>
      <c r="D48" s="452">
        <f t="shared" ref="D48:D75" si="13">B48*Lead_to_Pro</f>
        <v>28.589648811621672</v>
      </c>
      <c r="E48" s="452">
        <f t="shared" ref="E48:E75" si="14">B48*Lead_to_Prem</f>
        <v>9.5298829372072245</v>
      </c>
      <c r="F48" s="452">
        <f t="shared" ref="F48:F75" si="15">IFERROR( _xlfn.XLOOKUP(EDATE(A48,-12), $A:$A, $D:$D, 0) * Retention_Pro, 0)</f>
        <v>13.05422470931056</v>
      </c>
      <c r="G48" s="452">
        <f t="shared" ref="G48:G75" si="16">IFERROR( _xlfn.XLOOKUP(EDATE(A48,-12), $A:$A, $E:$E, 0) * Retention_Prem, 0)</f>
        <v>4.6698039610541837</v>
      </c>
      <c r="H48" s="452">
        <f t="shared" si="6"/>
        <v>41.643873520932232</v>
      </c>
      <c r="I48" s="452">
        <f t="shared" si="7"/>
        <v>14.199686898261408</v>
      </c>
      <c r="J48" s="452">
        <f t="shared" si="11"/>
        <v>2401.9131252202728</v>
      </c>
      <c r="K48" s="452">
        <f t="shared" si="8"/>
        <v>441.80583309137921</v>
      </c>
      <c r="L48" s="452">
        <f t="shared" si="9"/>
        <v>151.55492124742366</v>
      </c>
    </row>
    <row r="49" spans="1:12" x14ac:dyDescent="0.25">
      <c r="A49" s="451">
        <f t="shared" si="10"/>
        <v>47392</v>
      </c>
      <c r="B49" s="452">
        <f t="shared" ref="B49:B75" si="17">B48*(1+MoM_Growth)</f>
        <v>500.31885420337926</v>
      </c>
      <c r="C49" s="452">
        <f t="shared" si="12"/>
        <v>150.09565626101377</v>
      </c>
      <c r="D49" s="452">
        <f t="shared" si="13"/>
        <v>30.019131252202754</v>
      </c>
      <c r="E49" s="452">
        <f t="shared" si="14"/>
        <v>10.006377084067585</v>
      </c>
      <c r="F49" s="452">
        <f t="shared" si="15"/>
        <v>13.706935944776088</v>
      </c>
      <c r="G49" s="452">
        <f t="shared" si="16"/>
        <v>4.9032941591068937</v>
      </c>
      <c r="H49" s="452">
        <f t="shared" si="6"/>
        <v>43.726067196978846</v>
      </c>
      <c r="I49" s="452">
        <f t="shared" si="7"/>
        <v>14.909671243174479</v>
      </c>
      <c r="J49" s="452">
        <f t="shared" si="11"/>
        <v>2552.0087814812864</v>
      </c>
      <c r="K49" s="452">
        <f t="shared" ref="K49:K75" si="18">K48+D49-IFERROR(_xlfn.XLOOKUP(EDATE(A49,-12),$A:$A,$D:$D,0)-F49, 0)</f>
        <v>468.81612474594823</v>
      </c>
      <c r="L49" s="452">
        <f t="shared" ref="L49:L75" si="19">L48 + E49 - IFERROR(_xlfn.XLOOKUP(EDATE(A49,-12),$A:$A,$E:$E,0) - G49, 0)</f>
        <v>160.89266730979486</v>
      </c>
    </row>
    <row r="50" spans="1:12" x14ac:dyDescent="0.25">
      <c r="A50" s="451">
        <f t="shared" si="10"/>
        <v>47423</v>
      </c>
      <c r="B50" s="452">
        <f t="shared" si="17"/>
        <v>525.33479691354819</v>
      </c>
      <c r="C50" s="452">
        <f t="shared" si="12"/>
        <v>157.60043907406444</v>
      </c>
      <c r="D50" s="452">
        <f t="shared" si="13"/>
        <v>31.520087814812889</v>
      </c>
      <c r="E50" s="452">
        <f t="shared" si="14"/>
        <v>10.506695938270964</v>
      </c>
      <c r="F50" s="452">
        <f t="shared" si="15"/>
        <v>14.392282742014894</v>
      </c>
      <c r="G50" s="452">
        <f t="shared" si="16"/>
        <v>5.1484588670622378</v>
      </c>
      <c r="H50" s="452">
        <f t="shared" si="6"/>
        <v>45.912370556827781</v>
      </c>
      <c r="I50" s="452">
        <f t="shared" si="7"/>
        <v>15.655154805333201</v>
      </c>
      <c r="J50" s="452">
        <f t="shared" si="11"/>
        <v>2709.6092205553509</v>
      </c>
      <c r="K50" s="452">
        <f t="shared" si="18"/>
        <v>497.17693098324565</v>
      </c>
      <c r="L50" s="452">
        <f t="shared" si="19"/>
        <v>170.69730067528459</v>
      </c>
    </row>
    <row r="51" spans="1:12" x14ac:dyDescent="0.25">
      <c r="A51" s="451">
        <f t="shared" si="10"/>
        <v>47453</v>
      </c>
      <c r="B51" s="452">
        <f t="shared" si="17"/>
        <v>551.60153675922561</v>
      </c>
      <c r="C51" s="452">
        <f t="shared" si="12"/>
        <v>165.48046102776769</v>
      </c>
      <c r="D51" s="452">
        <f t="shared" si="13"/>
        <v>33.096092205553532</v>
      </c>
      <c r="E51" s="452">
        <f t="shared" si="14"/>
        <v>11.032030735184513</v>
      </c>
      <c r="F51" s="452">
        <f t="shared" si="15"/>
        <v>15.111896879115641</v>
      </c>
      <c r="G51" s="452">
        <f t="shared" si="16"/>
        <v>5.4058818104153508</v>
      </c>
      <c r="H51" s="452">
        <f t="shared" si="6"/>
        <v>48.207989084669173</v>
      </c>
      <c r="I51" s="452">
        <f t="shared" si="7"/>
        <v>16.437912545599865</v>
      </c>
      <c r="J51" s="452">
        <f t="shared" si="11"/>
        <v>2875.0896815831188</v>
      </c>
      <c r="K51" s="452">
        <f t="shared" si="18"/>
        <v>526.95577753240798</v>
      </c>
      <c r="L51" s="452">
        <f t="shared" si="19"/>
        <v>180.99216570904883</v>
      </c>
    </row>
    <row r="52" spans="1:12" x14ac:dyDescent="0.25">
      <c r="A52" s="451">
        <f t="shared" si="10"/>
        <v>47484</v>
      </c>
      <c r="B52" s="452">
        <f t="shared" si="17"/>
        <v>579.18161359718692</v>
      </c>
      <c r="C52" s="452">
        <f t="shared" si="12"/>
        <v>173.75448407915607</v>
      </c>
      <c r="D52" s="452">
        <f t="shared" si="13"/>
        <v>34.750896815831211</v>
      </c>
      <c r="E52" s="452">
        <f t="shared" si="14"/>
        <v>11.583632271943738</v>
      </c>
      <c r="F52" s="452">
        <f t="shared" si="15"/>
        <v>15.867491723071423</v>
      </c>
      <c r="G52" s="452">
        <f t="shared" si="16"/>
        <v>5.6761759009361183</v>
      </c>
      <c r="H52" s="452">
        <f t="shared" si="6"/>
        <v>50.618388538902636</v>
      </c>
      <c r="I52" s="452">
        <f t="shared" si="7"/>
        <v>17.259808172879858</v>
      </c>
      <c r="J52" s="452">
        <f t="shared" si="11"/>
        <v>3048.8441656622749</v>
      </c>
      <c r="K52" s="452">
        <f t="shared" si="18"/>
        <v>558.22356640902842</v>
      </c>
      <c r="L52" s="452">
        <f t="shared" si="19"/>
        <v>191.80177399450127</v>
      </c>
    </row>
    <row r="53" spans="1:12" x14ac:dyDescent="0.25">
      <c r="A53" s="451">
        <f t="shared" si="10"/>
        <v>47515</v>
      </c>
      <c r="B53" s="452">
        <f t="shared" si="17"/>
        <v>608.14069427704635</v>
      </c>
      <c r="C53" s="452">
        <f t="shared" si="12"/>
        <v>182.4422082831139</v>
      </c>
      <c r="D53" s="452">
        <f t="shared" si="13"/>
        <v>36.488441656622783</v>
      </c>
      <c r="E53" s="452">
        <f t="shared" si="14"/>
        <v>12.162813885540928</v>
      </c>
      <c r="F53" s="452">
        <f t="shared" si="15"/>
        <v>16.660866309224993</v>
      </c>
      <c r="G53" s="452">
        <f t="shared" si="16"/>
        <v>5.9599846959829241</v>
      </c>
      <c r="H53" s="452">
        <f t="shared" si="6"/>
        <v>53.149307965847775</v>
      </c>
      <c r="I53" s="452">
        <f t="shared" si="7"/>
        <v>18.122798581523853</v>
      </c>
      <c r="J53" s="452">
        <f t="shared" si="11"/>
        <v>3231.2863739453887</v>
      </c>
      <c r="K53" s="452">
        <f t="shared" si="18"/>
        <v>591.05474472947981</v>
      </c>
      <c r="L53" s="452">
        <f t="shared" si="19"/>
        <v>203.15186269422634</v>
      </c>
    </row>
    <row r="54" spans="1:12" x14ac:dyDescent="0.25">
      <c r="A54" s="451">
        <f t="shared" si="10"/>
        <v>47543</v>
      </c>
      <c r="B54" s="452">
        <f t="shared" si="17"/>
        <v>638.54772899089869</v>
      </c>
      <c r="C54" s="452">
        <f t="shared" si="12"/>
        <v>191.56431869726961</v>
      </c>
      <c r="D54" s="452">
        <f t="shared" si="13"/>
        <v>38.312863739453917</v>
      </c>
      <c r="E54" s="452">
        <f t="shared" si="14"/>
        <v>12.770954579817975</v>
      </c>
      <c r="F54" s="452">
        <f t="shared" si="15"/>
        <v>17.493909624686239</v>
      </c>
      <c r="G54" s="452">
        <f t="shared" si="16"/>
        <v>6.2579839307820695</v>
      </c>
      <c r="H54" s="452">
        <f t="shared" si="6"/>
        <v>55.806773364140156</v>
      </c>
      <c r="I54" s="452">
        <f t="shared" si="7"/>
        <v>19.028938510600042</v>
      </c>
      <c r="J54" s="452">
        <f t="shared" si="11"/>
        <v>3422.8506926426585</v>
      </c>
      <c r="K54" s="452">
        <f t="shared" si="18"/>
        <v>625.52748196595371</v>
      </c>
      <c r="L54" s="452">
        <f t="shared" si="19"/>
        <v>215.06945582893766</v>
      </c>
    </row>
    <row r="55" spans="1:12" x14ac:dyDescent="0.25">
      <c r="A55" s="451">
        <f t="shared" si="10"/>
        <v>47574</v>
      </c>
      <c r="B55" s="452">
        <f t="shared" si="17"/>
        <v>670.47511544044369</v>
      </c>
      <c r="C55" s="452">
        <f t="shared" si="12"/>
        <v>201.14253463213311</v>
      </c>
      <c r="D55" s="452">
        <f t="shared" si="13"/>
        <v>40.228506926426618</v>
      </c>
      <c r="E55" s="452">
        <f t="shared" si="14"/>
        <v>13.409502308808873</v>
      </c>
      <c r="F55" s="452">
        <f t="shared" si="15"/>
        <v>18.368605105920555</v>
      </c>
      <c r="G55" s="452">
        <f t="shared" si="16"/>
        <v>6.5708831273211743</v>
      </c>
      <c r="H55" s="452">
        <f t="shared" si="6"/>
        <v>58.597112032347169</v>
      </c>
      <c r="I55" s="452">
        <f t="shared" si="7"/>
        <v>19.980385436130049</v>
      </c>
      <c r="J55" s="452">
        <f t="shared" si="11"/>
        <v>3623.9932272747915</v>
      </c>
      <c r="K55" s="452">
        <f t="shared" si="18"/>
        <v>661.72385606425144</v>
      </c>
      <c r="L55" s="452">
        <f t="shared" si="19"/>
        <v>227.58292862038456</v>
      </c>
    </row>
    <row r="56" spans="1:12" x14ac:dyDescent="0.25">
      <c r="A56" s="451">
        <f t="shared" si="10"/>
        <v>47604</v>
      </c>
      <c r="B56" s="452">
        <f t="shared" si="17"/>
        <v>703.99887121246593</v>
      </c>
      <c r="C56" s="452">
        <f t="shared" si="12"/>
        <v>211.19966136373978</v>
      </c>
      <c r="D56" s="452">
        <f t="shared" si="13"/>
        <v>42.239932272747957</v>
      </c>
      <c r="E56" s="452">
        <f t="shared" si="14"/>
        <v>14.07997742424932</v>
      </c>
      <c r="F56" s="452">
        <f t="shared" si="15"/>
        <v>19.287035361216581</v>
      </c>
      <c r="G56" s="452">
        <f t="shared" si="16"/>
        <v>6.8994272836872339</v>
      </c>
      <c r="H56" s="452">
        <f t="shared" si="6"/>
        <v>61.526967633964539</v>
      </c>
      <c r="I56" s="452">
        <f t="shared" si="7"/>
        <v>20.979404707936553</v>
      </c>
      <c r="J56" s="452">
        <f t="shared" si="11"/>
        <v>3835.1928886385313</v>
      </c>
      <c r="K56" s="452">
        <f t="shared" si="18"/>
        <v>699.73004886746412</v>
      </c>
      <c r="L56" s="452">
        <f t="shared" si="19"/>
        <v>240.72207505140381</v>
      </c>
    </row>
    <row r="57" spans="1:12" x14ac:dyDescent="0.25">
      <c r="A57" s="451">
        <f t="shared" si="10"/>
        <v>47635</v>
      </c>
      <c r="B57" s="452">
        <f t="shared" si="17"/>
        <v>739.19881477308923</v>
      </c>
      <c r="C57" s="452">
        <f t="shared" si="12"/>
        <v>221.75964443192677</v>
      </c>
      <c r="D57" s="452">
        <f t="shared" si="13"/>
        <v>44.351928886385352</v>
      </c>
      <c r="E57" s="452">
        <f t="shared" si="14"/>
        <v>14.783976295461784</v>
      </c>
      <c r="F57" s="452">
        <f t="shared" si="15"/>
        <v>20.251387129277415</v>
      </c>
      <c r="G57" s="452">
        <f t="shared" si="16"/>
        <v>7.2443986478715958</v>
      </c>
      <c r="H57" s="452">
        <f t="shared" si="6"/>
        <v>64.60331601566277</v>
      </c>
      <c r="I57" s="452">
        <f t="shared" si="7"/>
        <v>22.028374943333379</v>
      </c>
      <c r="J57" s="452">
        <f t="shared" si="11"/>
        <v>4056.9525330704582</v>
      </c>
      <c r="K57" s="452">
        <f t="shared" si="18"/>
        <v>739.63655131083738</v>
      </c>
      <c r="L57" s="452">
        <f t="shared" si="19"/>
        <v>254.51817880397402</v>
      </c>
    </row>
    <row r="58" spans="1:12" x14ac:dyDescent="0.25">
      <c r="A58" s="451">
        <f t="shared" si="10"/>
        <v>47665</v>
      </c>
      <c r="B58" s="452">
        <f t="shared" si="17"/>
        <v>776.15875551174372</v>
      </c>
      <c r="C58" s="452">
        <f t="shared" si="12"/>
        <v>232.84762665352309</v>
      </c>
      <c r="D58" s="452">
        <f t="shared" si="13"/>
        <v>46.569525330704622</v>
      </c>
      <c r="E58" s="452">
        <f t="shared" si="14"/>
        <v>15.523175110234876</v>
      </c>
      <c r="F58" s="452">
        <f t="shared" si="15"/>
        <v>21.263956485741286</v>
      </c>
      <c r="G58" s="452">
        <f t="shared" si="16"/>
        <v>7.6066185802651756</v>
      </c>
      <c r="H58" s="452">
        <f t="shared" si="6"/>
        <v>67.833481816445911</v>
      </c>
      <c r="I58" s="452">
        <f t="shared" si="7"/>
        <v>23.129793690500051</v>
      </c>
      <c r="J58" s="452">
        <f t="shared" si="11"/>
        <v>4289.8001597239818</v>
      </c>
      <c r="K58" s="452">
        <f t="shared" si="18"/>
        <v>781.53837887637928</v>
      </c>
      <c r="L58" s="452">
        <f t="shared" si="19"/>
        <v>269.00408774417275</v>
      </c>
    </row>
    <row r="59" spans="1:12" x14ac:dyDescent="0.25">
      <c r="A59" s="451">
        <f t="shared" si="10"/>
        <v>47696</v>
      </c>
      <c r="B59" s="452">
        <f t="shared" si="17"/>
        <v>814.96669328733094</v>
      </c>
      <c r="C59" s="452">
        <f t="shared" si="12"/>
        <v>244.49000798619926</v>
      </c>
      <c r="D59" s="452">
        <f t="shared" si="13"/>
        <v>48.898001597239855</v>
      </c>
      <c r="E59" s="452">
        <f t="shared" si="14"/>
        <v>16.299333865746618</v>
      </c>
      <c r="F59" s="452">
        <f t="shared" si="15"/>
        <v>22.327154310028352</v>
      </c>
      <c r="G59" s="452">
        <f t="shared" si="16"/>
        <v>7.9869495092784355</v>
      </c>
      <c r="H59" s="452">
        <f t="shared" si="6"/>
        <v>71.225155907268203</v>
      </c>
      <c r="I59" s="452">
        <f t="shared" si="7"/>
        <v>24.286283375025054</v>
      </c>
      <c r="J59" s="452">
        <f t="shared" si="11"/>
        <v>4534.2901677101809</v>
      </c>
      <c r="K59" s="452">
        <f t="shared" si="18"/>
        <v>825.53529782019825</v>
      </c>
      <c r="L59" s="452">
        <f t="shared" si="19"/>
        <v>284.2142921313814</v>
      </c>
    </row>
    <row r="60" spans="1:12" x14ac:dyDescent="0.25">
      <c r="A60" s="451">
        <f t="shared" si="10"/>
        <v>47727</v>
      </c>
      <c r="B60" s="452">
        <f t="shared" si="17"/>
        <v>855.71502795169749</v>
      </c>
      <c r="C60" s="452">
        <f t="shared" si="12"/>
        <v>256.71450838550925</v>
      </c>
      <c r="D60" s="452">
        <f t="shared" si="13"/>
        <v>51.34290167710185</v>
      </c>
      <c r="E60" s="452">
        <f t="shared" si="14"/>
        <v>17.11430055903395</v>
      </c>
      <c r="F60" s="452">
        <f t="shared" si="15"/>
        <v>23.443512025529774</v>
      </c>
      <c r="G60" s="452">
        <f t="shared" si="16"/>
        <v>8.3862969847423567</v>
      </c>
      <c r="H60" s="452">
        <f t="shared" si="6"/>
        <v>74.78641370263162</v>
      </c>
      <c r="I60" s="452">
        <f t="shared" si="7"/>
        <v>25.500597543776308</v>
      </c>
      <c r="J60" s="452">
        <f t="shared" si="11"/>
        <v>4791.0046760956902</v>
      </c>
      <c r="K60" s="452">
        <f t="shared" si="18"/>
        <v>871.73206271120819</v>
      </c>
      <c r="L60" s="452">
        <f t="shared" si="19"/>
        <v>300.18500673795046</v>
      </c>
    </row>
    <row r="61" spans="1:12" x14ac:dyDescent="0.25">
      <c r="A61" s="451">
        <f t="shared" si="10"/>
        <v>47757</v>
      </c>
      <c r="B61" s="452">
        <f t="shared" si="17"/>
        <v>898.50077934928242</v>
      </c>
      <c r="C61" s="452">
        <f t="shared" si="12"/>
        <v>269.55023380478474</v>
      </c>
      <c r="D61" s="452">
        <f t="shared" si="13"/>
        <v>53.910046760956945</v>
      </c>
      <c r="E61" s="452">
        <f t="shared" si="14"/>
        <v>17.970015586985649</v>
      </c>
      <c r="F61" s="452">
        <f t="shared" si="15"/>
        <v>24.61568762680626</v>
      </c>
      <c r="G61" s="452">
        <f t="shared" si="16"/>
        <v>8.8056118339794747</v>
      </c>
      <c r="H61" s="452">
        <f t="shared" si="6"/>
        <v>78.525734387763208</v>
      </c>
      <c r="I61" s="452">
        <f t="shared" si="7"/>
        <v>26.775627420965122</v>
      </c>
      <c r="J61" s="452">
        <f t="shared" si="11"/>
        <v>5060.5549099004747</v>
      </c>
      <c r="K61" s="452">
        <f t="shared" si="18"/>
        <v>920.23866584676864</v>
      </c>
      <c r="L61" s="452">
        <f t="shared" si="19"/>
        <v>316.95425707484799</v>
      </c>
    </row>
    <row r="62" spans="1:12" x14ac:dyDescent="0.25">
      <c r="A62" s="451">
        <f t="shared" si="10"/>
        <v>47788</v>
      </c>
      <c r="B62" s="452">
        <f t="shared" si="17"/>
        <v>943.42581831674659</v>
      </c>
      <c r="C62" s="452">
        <f t="shared" si="12"/>
        <v>283.02774549502396</v>
      </c>
      <c r="D62" s="452">
        <f t="shared" si="13"/>
        <v>56.60554909900479</v>
      </c>
      <c r="E62" s="452">
        <f t="shared" si="14"/>
        <v>18.868516366334934</v>
      </c>
      <c r="F62" s="452">
        <f t="shared" si="15"/>
        <v>25.84647200814657</v>
      </c>
      <c r="G62" s="452">
        <f t="shared" si="16"/>
        <v>9.2458924256784485</v>
      </c>
      <c r="H62" s="452">
        <f t="shared" si="6"/>
        <v>82.452021107151353</v>
      </c>
      <c r="I62" s="452">
        <f t="shared" si="7"/>
        <v>28.114408792013382</v>
      </c>
      <c r="J62" s="452">
        <f t="shared" si="11"/>
        <v>5343.5826553954985</v>
      </c>
      <c r="K62" s="452">
        <f t="shared" si="18"/>
        <v>971.17059913910703</v>
      </c>
      <c r="L62" s="452">
        <f t="shared" si="19"/>
        <v>334.56196992859037</v>
      </c>
    </row>
    <row r="63" spans="1:12" x14ac:dyDescent="0.25">
      <c r="A63" s="451">
        <f t="shared" si="10"/>
        <v>47818</v>
      </c>
      <c r="B63" s="452">
        <f t="shared" si="17"/>
        <v>990.59710923258399</v>
      </c>
      <c r="C63" s="452">
        <f t="shared" si="12"/>
        <v>297.17913276977521</v>
      </c>
      <c r="D63" s="452">
        <f t="shared" si="13"/>
        <v>59.435826553955039</v>
      </c>
      <c r="E63" s="452">
        <f t="shared" si="14"/>
        <v>19.811942184651681</v>
      </c>
      <c r="F63" s="452">
        <f t="shared" si="15"/>
        <v>27.138795608553899</v>
      </c>
      <c r="G63" s="452">
        <f t="shared" si="16"/>
        <v>9.7081870469623723</v>
      </c>
      <c r="H63" s="452">
        <f t="shared" si="6"/>
        <v>86.574622162508945</v>
      </c>
      <c r="I63" s="452">
        <f t="shared" si="7"/>
        <v>29.520129231614053</v>
      </c>
      <c r="J63" s="452">
        <f t="shared" si="11"/>
        <v>5640.7617881652741</v>
      </c>
      <c r="K63" s="452">
        <f t="shared" si="18"/>
        <v>1024.6491290960623</v>
      </c>
      <c r="L63" s="452">
        <f t="shared" si="19"/>
        <v>353.0500684250199</v>
      </c>
    </row>
    <row r="64" spans="1:12" x14ac:dyDescent="0.25">
      <c r="A64" s="451">
        <f t="shared" si="10"/>
        <v>47849</v>
      </c>
      <c r="B64" s="452">
        <f t="shared" si="17"/>
        <v>1040.1269646942133</v>
      </c>
      <c r="C64" s="452">
        <f t="shared" si="12"/>
        <v>312.03808940826394</v>
      </c>
      <c r="D64" s="452">
        <f t="shared" si="13"/>
        <v>62.40761788165279</v>
      </c>
      <c r="E64" s="452">
        <f t="shared" si="14"/>
        <v>20.802539293884266</v>
      </c>
      <c r="F64" s="452">
        <f t="shared" si="15"/>
        <v>28.495735388981597</v>
      </c>
      <c r="G64" s="452">
        <f t="shared" si="16"/>
        <v>10.19359639931049</v>
      </c>
      <c r="H64" s="452">
        <f t="shared" si="6"/>
        <v>90.903353270634383</v>
      </c>
      <c r="I64" s="452">
        <f t="shared" si="7"/>
        <v>30.996135693194756</v>
      </c>
      <c r="J64" s="452">
        <f t="shared" si="11"/>
        <v>5952.7998775735377</v>
      </c>
      <c r="K64" s="452">
        <f t="shared" si="18"/>
        <v>1080.8015855508656</v>
      </c>
      <c r="L64" s="452">
        <f t="shared" si="19"/>
        <v>372.46257184627092</v>
      </c>
    </row>
    <row r="65" spans="1:12" x14ac:dyDescent="0.25">
      <c r="A65" s="451">
        <f t="shared" si="10"/>
        <v>47880</v>
      </c>
      <c r="B65" s="452">
        <f t="shared" si="17"/>
        <v>1092.1333129289239</v>
      </c>
      <c r="C65" s="452">
        <f t="shared" si="12"/>
        <v>327.63999387867716</v>
      </c>
      <c r="D65" s="452">
        <f t="shared" si="13"/>
        <v>65.527998775735441</v>
      </c>
      <c r="E65" s="452">
        <f t="shared" si="14"/>
        <v>21.842666258578479</v>
      </c>
      <c r="F65" s="452">
        <f t="shared" si="15"/>
        <v>29.920522158430686</v>
      </c>
      <c r="G65" s="452">
        <f t="shared" si="16"/>
        <v>10.703276219276017</v>
      </c>
      <c r="H65" s="452">
        <f t="shared" si="6"/>
        <v>95.448520934166126</v>
      </c>
      <c r="I65" s="452">
        <f t="shared" si="7"/>
        <v>32.545942477854496</v>
      </c>
      <c r="J65" s="452">
        <f t="shared" si="11"/>
        <v>6280.4398714522149</v>
      </c>
      <c r="K65" s="452">
        <f t="shared" si="18"/>
        <v>1139.7616648284088</v>
      </c>
      <c r="L65" s="452">
        <f t="shared" si="19"/>
        <v>392.84570043858452</v>
      </c>
    </row>
    <row r="66" spans="1:12" x14ac:dyDescent="0.25">
      <c r="A66" s="451">
        <f t="shared" si="10"/>
        <v>47908</v>
      </c>
      <c r="B66" s="452">
        <f t="shared" si="17"/>
        <v>1146.7399785753703</v>
      </c>
      <c r="C66" s="452">
        <f t="shared" si="12"/>
        <v>344.02199357261105</v>
      </c>
      <c r="D66" s="452">
        <f t="shared" si="13"/>
        <v>68.804398714522222</v>
      </c>
      <c r="E66" s="452">
        <f t="shared" si="14"/>
        <v>22.934799571507405</v>
      </c>
      <c r="F66" s="452">
        <f t="shared" si="15"/>
        <v>31.416548266352216</v>
      </c>
      <c r="G66" s="452">
        <f t="shared" si="16"/>
        <v>11.238440030239818</v>
      </c>
      <c r="H66" s="452">
        <f t="shared" si="6"/>
        <v>100.22094698087443</v>
      </c>
      <c r="I66" s="452">
        <f t="shared" si="7"/>
        <v>34.173239601747227</v>
      </c>
      <c r="J66" s="452">
        <f t="shared" si="11"/>
        <v>6624.4618650248258</v>
      </c>
      <c r="K66" s="452">
        <f t="shared" si="18"/>
        <v>1201.6697480698294</v>
      </c>
      <c r="L66" s="452">
        <f t="shared" si="19"/>
        <v>414.2479854605138</v>
      </c>
    </row>
    <row r="67" spans="1:12" x14ac:dyDescent="0.25">
      <c r="A67" s="451">
        <f t="shared" si="10"/>
        <v>47939</v>
      </c>
      <c r="B67" s="452">
        <f t="shared" si="17"/>
        <v>1204.0769775041388</v>
      </c>
      <c r="C67" s="452">
        <f t="shared" si="12"/>
        <v>361.22309325124161</v>
      </c>
      <c r="D67" s="452">
        <f t="shared" si="13"/>
        <v>72.244618650248327</v>
      </c>
      <c r="E67" s="452">
        <f t="shared" si="14"/>
        <v>24.081539550082777</v>
      </c>
      <c r="F67" s="452">
        <f t="shared" si="15"/>
        <v>32.987375679669832</v>
      </c>
      <c r="G67" s="452">
        <f t="shared" si="16"/>
        <v>11.800362031751808</v>
      </c>
      <c r="H67" s="452">
        <f t="shared" si="6"/>
        <v>105.23199432991817</v>
      </c>
      <c r="I67" s="452">
        <f t="shared" si="7"/>
        <v>35.881901581834583</v>
      </c>
      <c r="J67" s="452">
        <f t="shared" si="11"/>
        <v>6985.6849582760678</v>
      </c>
      <c r="K67" s="452">
        <f t="shared" si="18"/>
        <v>1266.673235473321</v>
      </c>
      <c r="L67" s="452">
        <f t="shared" si="19"/>
        <v>436.7203847335395</v>
      </c>
    </row>
    <row r="68" spans="1:12" x14ac:dyDescent="0.25">
      <c r="A68" s="451">
        <f t="shared" si="10"/>
        <v>47969</v>
      </c>
      <c r="B68" s="452">
        <f t="shared" si="17"/>
        <v>1264.2808263793459</v>
      </c>
      <c r="C68" s="452">
        <f t="shared" si="12"/>
        <v>379.28424791380377</v>
      </c>
      <c r="D68" s="452">
        <f t="shared" si="13"/>
        <v>75.856849582760745</v>
      </c>
      <c r="E68" s="452">
        <f t="shared" si="14"/>
        <v>25.285616527586917</v>
      </c>
      <c r="F68" s="452">
        <f t="shared" si="15"/>
        <v>34.636744463653329</v>
      </c>
      <c r="G68" s="452">
        <f t="shared" si="16"/>
        <v>12.390380133339402</v>
      </c>
      <c r="H68" s="452">
        <f t="shared" si="6"/>
        <v>110.49359404641407</v>
      </c>
      <c r="I68" s="452">
        <f t="shared" si="7"/>
        <v>37.675996660926316</v>
      </c>
      <c r="J68" s="452">
        <f t="shared" si="11"/>
        <v>7364.9692061898713</v>
      </c>
      <c r="K68" s="452">
        <f t="shared" si="18"/>
        <v>1334.9268972469872</v>
      </c>
      <c r="L68" s="452">
        <f t="shared" si="19"/>
        <v>460.31640397021647</v>
      </c>
    </row>
    <row r="69" spans="1:12" x14ac:dyDescent="0.25">
      <c r="A69" s="451">
        <f t="shared" si="10"/>
        <v>48000</v>
      </c>
      <c r="B69" s="452">
        <f t="shared" si="17"/>
        <v>1327.4948676983131</v>
      </c>
      <c r="C69" s="452">
        <f t="shared" si="12"/>
        <v>398.24846030949391</v>
      </c>
      <c r="D69" s="452">
        <f t="shared" si="13"/>
        <v>79.64969206189879</v>
      </c>
      <c r="E69" s="452">
        <f t="shared" si="14"/>
        <v>26.549897353966262</v>
      </c>
      <c r="F69" s="452">
        <f t="shared" si="15"/>
        <v>36.368581686835988</v>
      </c>
      <c r="G69" s="452">
        <f t="shared" si="16"/>
        <v>13.00989914000637</v>
      </c>
      <c r="H69" s="452">
        <f t="shared" si="6"/>
        <v>116.01827374873477</v>
      </c>
      <c r="I69" s="452">
        <f t="shared" si="7"/>
        <v>39.559796493972634</v>
      </c>
      <c r="J69" s="452">
        <f t="shared" si="11"/>
        <v>7763.2176664993649</v>
      </c>
      <c r="K69" s="452">
        <f t="shared" si="18"/>
        <v>1406.5932421093366</v>
      </c>
      <c r="L69" s="452">
        <f t="shared" si="19"/>
        <v>485.09222416872734</v>
      </c>
    </row>
    <row r="70" spans="1:12" x14ac:dyDescent="0.25">
      <c r="A70" s="451">
        <f t="shared" si="10"/>
        <v>48030</v>
      </c>
      <c r="B70" s="452">
        <f t="shared" si="17"/>
        <v>1393.8696110832288</v>
      </c>
      <c r="C70" s="452">
        <f t="shared" si="12"/>
        <v>418.16088332496867</v>
      </c>
      <c r="D70" s="452">
        <f t="shared" si="13"/>
        <v>83.632176664993722</v>
      </c>
      <c r="E70" s="452">
        <f t="shared" si="14"/>
        <v>27.877392221664579</v>
      </c>
      <c r="F70" s="452">
        <f t="shared" si="15"/>
        <v>38.187010771177789</v>
      </c>
      <c r="G70" s="452">
        <f t="shared" si="16"/>
        <v>13.660394097006691</v>
      </c>
      <c r="H70" s="452">
        <f t="shared" si="6"/>
        <v>121.81918743617152</v>
      </c>
      <c r="I70" s="452">
        <f t="shared" si="7"/>
        <v>41.537786318671266</v>
      </c>
      <c r="J70" s="452">
        <f t="shared" si="11"/>
        <v>8181.3785498243333</v>
      </c>
      <c r="K70" s="452">
        <f t="shared" si="18"/>
        <v>1481.8429042148036</v>
      </c>
      <c r="L70" s="452">
        <f t="shared" si="19"/>
        <v>511.10683537716375</v>
      </c>
    </row>
    <row r="71" spans="1:12" x14ac:dyDescent="0.25">
      <c r="A71" s="451">
        <f t="shared" si="10"/>
        <v>48061</v>
      </c>
      <c r="B71" s="452">
        <f t="shared" si="17"/>
        <v>1463.5630916373902</v>
      </c>
      <c r="C71" s="452">
        <f t="shared" si="12"/>
        <v>439.06892749121704</v>
      </c>
      <c r="D71" s="452">
        <f t="shared" si="13"/>
        <v>87.813785498243405</v>
      </c>
      <c r="E71" s="452">
        <f t="shared" si="14"/>
        <v>29.271261832747804</v>
      </c>
      <c r="F71" s="452">
        <f t="shared" si="15"/>
        <v>40.096361309736686</v>
      </c>
      <c r="G71" s="452">
        <f t="shared" si="16"/>
        <v>14.343413801857023</v>
      </c>
      <c r="H71" s="452">
        <f t="shared" si="6"/>
        <v>127.91014680798008</v>
      </c>
      <c r="I71" s="452">
        <f t="shared" si="7"/>
        <v>43.614675634604829</v>
      </c>
      <c r="J71" s="452">
        <f t="shared" si="11"/>
        <v>8620.4474773155507</v>
      </c>
      <c r="K71" s="452">
        <f t="shared" si="18"/>
        <v>1560.8550494255437</v>
      </c>
      <c r="L71" s="452">
        <f t="shared" si="19"/>
        <v>538.42217714602191</v>
      </c>
    </row>
    <row r="72" spans="1:12" x14ac:dyDescent="0.25">
      <c r="A72" s="451">
        <f t="shared" si="10"/>
        <v>48092</v>
      </c>
      <c r="B72" s="452">
        <f t="shared" si="17"/>
        <v>1536.7412462192599</v>
      </c>
      <c r="C72" s="452">
        <f t="shared" si="12"/>
        <v>461.02237386577792</v>
      </c>
      <c r="D72" s="452">
        <f t="shared" si="13"/>
        <v>92.204474773155596</v>
      </c>
      <c r="E72" s="452">
        <f t="shared" si="14"/>
        <v>30.734824924385197</v>
      </c>
      <c r="F72" s="452">
        <f t="shared" si="15"/>
        <v>42.101179375223516</v>
      </c>
      <c r="G72" s="452">
        <f t="shared" si="16"/>
        <v>15.060584491949877</v>
      </c>
      <c r="H72" s="452">
        <f t="shared" si="6"/>
        <v>134.30565414837912</v>
      </c>
      <c r="I72" s="452">
        <f t="shared" si="7"/>
        <v>45.795409416335076</v>
      </c>
      <c r="J72" s="452">
        <f t="shared" si="11"/>
        <v>9081.4698511813294</v>
      </c>
      <c r="K72" s="452">
        <f t="shared" si="18"/>
        <v>1643.817801896821</v>
      </c>
      <c r="L72" s="452">
        <f t="shared" si="19"/>
        <v>567.10328600332298</v>
      </c>
    </row>
    <row r="73" spans="1:12" x14ac:dyDescent="0.25">
      <c r="A73" s="451">
        <f t="shared" si="10"/>
        <v>48122</v>
      </c>
      <c r="B73" s="452">
        <f t="shared" si="17"/>
        <v>1613.578308530223</v>
      </c>
      <c r="C73" s="452">
        <f t="shared" si="12"/>
        <v>484.07349255906689</v>
      </c>
      <c r="D73" s="452">
        <f t="shared" si="13"/>
        <v>96.814698511813376</v>
      </c>
      <c r="E73" s="452">
        <f t="shared" si="14"/>
        <v>32.271566170604459</v>
      </c>
      <c r="F73" s="452">
        <f t="shared" si="15"/>
        <v>44.206238343984701</v>
      </c>
      <c r="G73" s="452">
        <f t="shared" si="16"/>
        <v>15.813613716547371</v>
      </c>
      <c r="H73" s="452">
        <f t="shared" si="6"/>
        <v>141.02093685579808</v>
      </c>
      <c r="I73" s="452">
        <f t="shared" si="7"/>
        <v>48.085179887151831</v>
      </c>
      <c r="J73" s="452">
        <f t="shared" si="11"/>
        <v>9565.5433437403972</v>
      </c>
      <c r="K73" s="452">
        <f t="shared" si="18"/>
        <v>1730.9286919916622</v>
      </c>
      <c r="L73" s="452">
        <f t="shared" si="19"/>
        <v>597.21845030348925</v>
      </c>
    </row>
    <row r="74" spans="1:12" x14ac:dyDescent="0.25">
      <c r="A74" s="451">
        <f t="shared" si="10"/>
        <v>48153</v>
      </c>
      <c r="B74" s="452">
        <f t="shared" si="17"/>
        <v>1694.2572239567342</v>
      </c>
      <c r="C74" s="452">
        <f t="shared" si="12"/>
        <v>508.27716718702021</v>
      </c>
      <c r="D74" s="452">
        <f t="shared" si="13"/>
        <v>101.65543343740404</v>
      </c>
      <c r="E74" s="452">
        <f t="shared" si="14"/>
        <v>33.885144479134681</v>
      </c>
      <c r="F74" s="452">
        <f t="shared" si="15"/>
        <v>46.416550261183929</v>
      </c>
      <c r="G74" s="452">
        <f t="shared" si="16"/>
        <v>16.604294402374741</v>
      </c>
      <c r="H74" s="452">
        <f t="shared" si="6"/>
        <v>148.07198369858799</v>
      </c>
      <c r="I74" s="452">
        <f t="shared" si="7"/>
        <v>50.489438881509422</v>
      </c>
      <c r="J74" s="452">
        <f t="shared" si="11"/>
        <v>10073.820510927417</v>
      </c>
      <c r="K74" s="452">
        <f t="shared" si="18"/>
        <v>1822.3951265912453</v>
      </c>
      <c r="L74" s="452">
        <f t="shared" si="19"/>
        <v>628.83937281866383</v>
      </c>
    </row>
    <row r="75" spans="1:12" x14ac:dyDescent="0.25">
      <c r="A75" s="451">
        <f t="shared" si="10"/>
        <v>48183</v>
      </c>
      <c r="B75" s="452">
        <f t="shared" si="17"/>
        <v>1778.9700851545708</v>
      </c>
      <c r="C75" s="452">
        <f t="shared" si="12"/>
        <v>533.69102554637118</v>
      </c>
      <c r="D75" s="452">
        <f t="shared" si="13"/>
        <v>106.73820510927425</v>
      </c>
      <c r="E75" s="452">
        <f t="shared" si="14"/>
        <v>35.57940170309142</v>
      </c>
      <c r="F75" s="452">
        <f t="shared" si="15"/>
        <v>48.737377774243136</v>
      </c>
      <c r="G75" s="452">
        <f t="shared" si="16"/>
        <v>17.434509122493481</v>
      </c>
      <c r="H75" s="452">
        <f t="shared" si="6"/>
        <v>155.47558288351738</v>
      </c>
      <c r="I75" s="452">
        <f t="shared" si="7"/>
        <v>53.013910825584901</v>
      </c>
      <c r="J75" s="452">
        <f t="shared" si="11"/>
        <v>10607.511536473789</v>
      </c>
      <c r="K75" s="452">
        <f t="shared" si="18"/>
        <v>1918.4348829208077</v>
      </c>
      <c r="L75" s="452">
        <f t="shared" si="19"/>
        <v>662.04134145959711</v>
      </c>
    </row>
  </sheetData>
  <mergeCells count="5">
    <mergeCell ref="A14:L14"/>
    <mergeCell ref="A1:L1"/>
    <mergeCell ref="C4:L4"/>
    <mergeCell ref="C3:L3"/>
    <mergeCell ref="A13:B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DFF81-BB8D-4A77-9522-EB47F785D2C1}">
  <sheetPr>
    <tabColor theme="5" tint="0.59999389629810485"/>
  </sheetPr>
  <dimension ref="A1:AK174"/>
  <sheetViews>
    <sheetView zoomScale="70" zoomScaleNormal="70" workbookViewId="0">
      <selection activeCell="A17" sqref="A17"/>
    </sheetView>
  </sheetViews>
  <sheetFormatPr defaultRowHeight="15" outlineLevelRow="1" outlineLevelCol="1" x14ac:dyDescent="0.25"/>
  <cols>
    <col min="1" max="1" width="30.5703125" customWidth="1"/>
    <col min="2" max="2" width="30.28515625" hidden="1" customWidth="1" outlineLevel="1"/>
    <col min="3" max="10" width="11.85546875" hidden="1" customWidth="1" outlineLevel="1"/>
    <col min="11" max="11" width="8.42578125" hidden="1" customWidth="1" outlineLevel="1"/>
    <col min="12" max="14" width="11.85546875" hidden="1" customWidth="1" outlineLevel="1"/>
    <col min="15" max="15" width="16" hidden="1" customWidth="1" outlineLevel="1"/>
    <col min="16" max="16" width="5.85546875" customWidth="1" collapsed="1"/>
    <col min="17" max="17" width="5.85546875" customWidth="1"/>
    <col min="18" max="18" width="40.28515625" customWidth="1"/>
    <col min="19" max="19" width="18.140625" customWidth="1"/>
    <col min="20" max="20" width="19.140625" customWidth="1"/>
    <col min="21" max="21" width="15.28515625" customWidth="1"/>
    <col min="22" max="22" width="17.5703125" customWidth="1"/>
    <col min="23" max="23" width="19.42578125" customWidth="1"/>
    <col min="24" max="24" width="16" customWidth="1"/>
    <col min="25" max="25" width="17.42578125" customWidth="1"/>
    <col min="26" max="26" width="8.85546875"/>
    <col min="27" max="27" width="10" customWidth="1"/>
    <col min="28" max="28" width="3.85546875" customWidth="1"/>
    <col min="29" max="29" width="19.42578125" customWidth="1"/>
    <col min="30" max="35" width="14.42578125" customWidth="1"/>
    <col min="36" max="36" width="3.85546875" customWidth="1"/>
  </cols>
  <sheetData>
    <row r="1" spans="1:37" ht="21" x14ac:dyDescent="0.35">
      <c r="A1" s="357" t="s">
        <v>306</v>
      </c>
    </row>
    <row r="2" spans="1:37" ht="15.75" x14ac:dyDescent="0.25">
      <c r="A2" s="354" t="s">
        <v>307</v>
      </c>
    </row>
    <row r="3" spans="1:37" ht="25.5" hidden="1" outlineLevel="1" thickTop="1" thickBot="1" x14ac:dyDescent="0.45">
      <c r="B3" s="3" t="s">
        <v>308</v>
      </c>
      <c r="C3" s="4"/>
      <c r="D3" s="4"/>
      <c r="E3" s="4"/>
      <c r="F3" s="4"/>
      <c r="G3" s="4"/>
      <c r="H3" s="4"/>
      <c r="I3" s="4"/>
      <c r="J3" s="4"/>
      <c r="K3" s="4"/>
      <c r="L3" s="4"/>
      <c r="M3" s="4"/>
      <c r="N3" s="4"/>
      <c r="O3" s="4"/>
      <c r="Q3" s="5"/>
      <c r="R3" s="3" t="str">
        <f>CompanyName &amp;" Annual Cash Flow Statement"</f>
        <v>Sustainsphere Annual Cash Flow Statement</v>
      </c>
      <c r="S3" s="186"/>
      <c r="T3" s="7"/>
      <c r="U3" s="7"/>
      <c r="V3" s="7"/>
      <c r="W3" s="7"/>
      <c r="X3" s="7"/>
      <c r="Y3" s="7"/>
      <c r="Z3" s="8"/>
      <c r="AB3" s="5"/>
      <c r="AC3" s="3" t="str">
        <f>CompanyName &amp;" Projected Cashflow"</f>
        <v>Sustainsphere Projected Cashflow</v>
      </c>
      <c r="AD3" s="7"/>
      <c r="AE3" s="7"/>
      <c r="AF3" s="7"/>
      <c r="AG3" s="7"/>
      <c r="AH3" s="7"/>
      <c r="AI3" s="7"/>
      <c r="AJ3" s="8"/>
    </row>
    <row r="4" spans="1:37" ht="15.75" hidden="1" outlineLevel="1" thickTop="1" x14ac:dyDescent="0.25">
      <c r="B4" s="9" t="str">
        <f>"All Values in "&amp;SubHeader</f>
        <v>All Values in EUR</v>
      </c>
      <c r="D4" s="11"/>
      <c r="E4" s="11"/>
      <c r="Q4" s="12"/>
      <c r="Z4" s="13"/>
      <c r="AB4" s="12"/>
      <c r="AJ4" s="13"/>
    </row>
    <row r="5" spans="1:37" ht="18" hidden="1" outlineLevel="1" thickBot="1" x14ac:dyDescent="0.35">
      <c r="B5" t="s">
        <v>309</v>
      </c>
      <c r="C5" s="14" t="s">
        <v>310</v>
      </c>
      <c r="D5" s="15"/>
      <c r="E5" s="15"/>
      <c r="F5" s="15"/>
      <c r="G5" s="15"/>
      <c r="H5" s="15"/>
      <c r="I5" s="16"/>
      <c r="J5" s="16"/>
      <c r="K5" s="16"/>
      <c r="L5" s="16"/>
      <c r="M5" s="16"/>
      <c r="N5" s="16"/>
      <c r="O5" s="16"/>
      <c r="Q5" s="12"/>
      <c r="R5" s="17"/>
      <c r="S5" s="17"/>
      <c r="Z5" s="13"/>
      <c r="AB5" s="12"/>
      <c r="AC5" s="17" t="s">
        <v>311</v>
      </c>
      <c r="AJ5" s="13"/>
    </row>
    <row r="6" spans="1:37" ht="18.75" hidden="1" outlineLevel="1" thickTop="1" thickBot="1" x14ac:dyDescent="0.35">
      <c r="C6" s="14"/>
      <c r="D6" s="15"/>
      <c r="E6" s="15"/>
      <c r="F6" s="15"/>
      <c r="G6" s="15"/>
      <c r="H6" s="15"/>
      <c r="I6" s="16"/>
      <c r="J6" s="16"/>
      <c r="K6" s="16"/>
      <c r="L6" s="16"/>
      <c r="M6" s="16"/>
      <c r="N6" s="16"/>
      <c r="O6" s="16"/>
      <c r="Q6" s="12"/>
      <c r="R6" s="17" t="s">
        <v>48</v>
      </c>
      <c r="S6" s="17"/>
      <c r="Z6" s="13"/>
      <c r="AB6" s="12"/>
      <c r="AJ6" s="13"/>
    </row>
    <row r="7" spans="1:37" ht="20.25" hidden="1" outlineLevel="1" thickTop="1" x14ac:dyDescent="0.3">
      <c r="B7" s="54" t="s">
        <v>312</v>
      </c>
      <c r="Q7" s="19"/>
      <c r="Z7" s="20"/>
      <c r="AB7" s="19"/>
      <c r="AC7" s="18"/>
      <c r="AD7" s="18"/>
      <c r="AE7" s="18"/>
      <c r="AF7" s="18"/>
      <c r="AG7" s="18"/>
      <c r="AH7" s="18"/>
      <c r="AI7" s="18"/>
      <c r="AJ7" s="20"/>
    </row>
    <row r="8" spans="1:37" hidden="1" outlineLevel="1" x14ac:dyDescent="0.25">
      <c r="B8" s="56"/>
      <c r="C8" s="500" t="s">
        <v>313</v>
      </c>
      <c r="D8" s="500"/>
      <c r="E8" s="500"/>
      <c r="F8" s="500"/>
      <c r="G8" s="500"/>
      <c r="H8" s="500"/>
      <c r="I8" s="500"/>
      <c r="J8" s="500"/>
      <c r="K8" s="61"/>
      <c r="L8" s="499" t="s">
        <v>314</v>
      </c>
      <c r="M8" s="499"/>
      <c r="N8" s="499"/>
      <c r="O8" s="499"/>
      <c r="Q8" s="12"/>
      <c r="R8" s="81"/>
      <c r="S8" s="81"/>
      <c r="T8" s="499" t="s">
        <v>52</v>
      </c>
      <c r="U8" s="499"/>
      <c r="V8" s="499"/>
      <c r="W8" s="499"/>
      <c r="X8" s="499"/>
      <c r="Y8" s="499"/>
      <c r="Z8" s="13"/>
      <c r="AB8" s="12"/>
      <c r="AJ8" s="13"/>
    </row>
    <row r="9" spans="1:37" hidden="1" outlineLevel="1" x14ac:dyDescent="0.25">
      <c r="B9" s="56"/>
      <c r="C9" s="500" t="s">
        <v>42</v>
      </c>
      <c r="D9" s="500"/>
      <c r="E9" s="500"/>
      <c r="F9" s="500"/>
      <c r="G9" s="500" t="s">
        <v>43</v>
      </c>
      <c r="H9" s="500"/>
      <c r="I9" s="500"/>
      <c r="J9" s="500"/>
      <c r="K9" s="61"/>
      <c r="L9" s="62" t="s">
        <v>44</v>
      </c>
      <c r="M9" s="62" t="s">
        <v>45</v>
      </c>
      <c r="N9" s="62" t="s">
        <v>46</v>
      </c>
      <c r="O9" s="62" t="s">
        <v>47</v>
      </c>
      <c r="Q9" s="12"/>
      <c r="R9" s="81"/>
      <c r="S9" s="81"/>
      <c r="T9" s="62" t="s">
        <v>42</v>
      </c>
      <c r="U9" s="62" t="s">
        <v>43</v>
      </c>
      <c r="V9" s="62" t="s">
        <v>44</v>
      </c>
      <c r="W9" s="62" t="s">
        <v>45</v>
      </c>
      <c r="X9" s="62" t="s">
        <v>46</v>
      </c>
      <c r="Y9" s="62" t="s">
        <v>47</v>
      </c>
      <c r="Z9" s="13"/>
      <c r="AB9" s="12"/>
      <c r="AJ9" s="13"/>
    </row>
    <row r="10" spans="1:37" hidden="1" outlineLevel="1" x14ac:dyDescent="0.25">
      <c r="B10" s="195" t="s">
        <v>315</v>
      </c>
      <c r="C10" s="77">
        <f>StartDate</f>
        <v>46023</v>
      </c>
      <c r="D10" s="77">
        <f>EDATE(C10,3)</f>
        <v>46113</v>
      </c>
      <c r="E10" s="77">
        <f t="shared" ref="E10:J10" si="0">EDATE(D10,3)</f>
        <v>46204</v>
      </c>
      <c r="F10" s="77">
        <f t="shared" si="0"/>
        <v>46296</v>
      </c>
      <c r="G10" s="77">
        <f t="shared" si="0"/>
        <v>46388</v>
      </c>
      <c r="H10" s="77">
        <f t="shared" si="0"/>
        <v>46478</v>
      </c>
      <c r="I10" s="77">
        <f t="shared" si="0"/>
        <v>46569</v>
      </c>
      <c r="J10" s="77">
        <f t="shared" si="0"/>
        <v>46661</v>
      </c>
      <c r="K10" s="61"/>
      <c r="L10" s="77">
        <f>EDATE(J10,3)</f>
        <v>46753</v>
      </c>
      <c r="M10" s="77">
        <f t="shared" ref="M10:O10" si="1">EDATE(L10,12)</f>
        <v>47119</v>
      </c>
      <c r="N10" s="77">
        <f t="shared" si="1"/>
        <v>47484</v>
      </c>
      <c r="O10" s="77">
        <f t="shared" si="1"/>
        <v>47849</v>
      </c>
      <c r="Q10" s="12"/>
      <c r="R10" s="195" t="s">
        <v>315</v>
      </c>
      <c r="S10" s="81"/>
      <c r="T10" s="77">
        <f>C10</f>
        <v>46023</v>
      </c>
      <c r="U10" s="77">
        <f>G10</f>
        <v>46388</v>
      </c>
      <c r="V10" s="77">
        <f>L10</f>
        <v>46753</v>
      </c>
      <c r="W10" s="77">
        <f t="shared" ref="W10:Y10" si="2">M10</f>
        <v>47119</v>
      </c>
      <c r="X10" s="77">
        <f t="shared" si="2"/>
        <v>47484</v>
      </c>
      <c r="Y10" s="77">
        <f t="shared" si="2"/>
        <v>47849</v>
      </c>
      <c r="Z10" s="13"/>
      <c r="AB10" s="12"/>
      <c r="AJ10" s="13"/>
    </row>
    <row r="11" spans="1:37" hidden="1" outlineLevel="1" x14ac:dyDescent="0.25">
      <c r="B11" s="81"/>
      <c r="C11" s="196"/>
      <c r="D11" s="197"/>
      <c r="E11" s="197"/>
      <c r="F11" s="197"/>
      <c r="G11" s="197"/>
      <c r="H11" s="197"/>
      <c r="I11" s="198"/>
      <c r="J11" s="198"/>
      <c r="K11" s="61"/>
      <c r="L11" s="198"/>
      <c r="M11" s="198"/>
      <c r="N11" s="198"/>
      <c r="O11" s="198"/>
      <c r="Q11" s="12"/>
      <c r="R11" s="59"/>
      <c r="S11" s="59"/>
      <c r="T11" s="198"/>
      <c r="U11" s="198"/>
      <c r="V11" s="198"/>
      <c r="W11" s="198"/>
      <c r="X11" s="198"/>
      <c r="Y11" s="198"/>
      <c r="Z11" s="13"/>
      <c r="AB11" s="12"/>
      <c r="AJ11" s="13"/>
    </row>
    <row r="12" spans="1:37" hidden="1" outlineLevel="1" x14ac:dyDescent="0.25">
      <c r="B12" s="195" t="s">
        <v>316</v>
      </c>
      <c r="C12" s="199">
        <v>0</v>
      </c>
      <c r="D12" s="199">
        <f>C38</f>
        <v>87250</v>
      </c>
      <c r="E12" s="199">
        <f t="shared" ref="E12:O12" si="3">D38</f>
        <v>74500</v>
      </c>
      <c r="F12" s="199">
        <f t="shared" si="3"/>
        <v>46437.5</v>
      </c>
      <c r="G12" s="199">
        <f t="shared" si="3"/>
        <v>18375</v>
      </c>
      <c r="H12" s="199">
        <f t="shared" si="3"/>
        <v>269044.75731769862</v>
      </c>
      <c r="I12" s="199">
        <f t="shared" si="3"/>
        <v>241319.49663420086</v>
      </c>
      <c r="J12" s="199">
        <f t="shared" si="3"/>
        <v>208223.61111046677</v>
      </c>
      <c r="K12" s="61"/>
      <c r="L12" s="199">
        <f>J38</f>
        <v>155625.50756855411</v>
      </c>
      <c r="M12" s="199">
        <f t="shared" si="3"/>
        <v>441159.68271191313</v>
      </c>
      <c r="N12" s="199">
        <f t="shared" si="3"/>
        <v>910506.64393328794</v>
      </c>
      <c r="O12" s="199">
        <f t="shared" si="3"/>
        <v>1886508.4230241999</v>
      </c>
      <c r="Q12" s="12"/>
      <c r="R12" s="195" t="str">
        <f>B12</f>
        <v>Beginning Cash Balance</v>
      </c>
      <c r="S12" s="195"/>
      <c r="T12" s="199">
        <f>C12</f>
        <v>0</v>
      </c>
      <c r="U12" s="199">
        <f>G12</f>
        <v>18375</v>
      </c>
      <c r="V12" s="199">
        <f>L12</f>
        <v>155625.50756855411</v>
      </c>
      <c r="W12" s="199">
        <f t="shared" ref="W12:Y12" si="4">M12</f>
        <v>441159.68271191313</v>
      </c>
      <c r="X12" s="199">
        <f t="shared" si="4"/>
        <v>910506.64393328794</v>
      </c>
      <c r="Y12" s="199">
        <f t="shared" si="4"/>
        <v>1886508.4230241999</v>
      </c>
      <c r="Z12" s="13"/>
      <c r="AB12" s="12"/>
      <c r="AJ12" s="13"/>
    </row>
    <row r="13" spans="1:37" hidden="1" outlineLevel="1" x14ac:dyDescent="0.25">
      <c r="C13" s="12"/>
      <c r="J13" s="13"/>
      <c r="K13" s="27"/>
      <c r="L13" s="12"/>
      <c r="O13" s="13"/>
      <c r="Q13" s="12"/>
      <c r="R13" s="81"/>
      <c r="S13" s="81"/>
      <c r="T13" s="81"/>
      <c r="U13" s="81"/>
      <c r="V13" s="81"/>
      <c r="W13" s="81"/>
      <c r="X13" s="81"/>
      <c r="Y13" s="81"/>
      <c r="Z13" s="13"/>
      <c r="AB13" s="12"/>
      <c r="AJ13" s="13"/>
    </row>
    <row r="14" spans="1:37" hidden="1" outlineLevel="1" x14ac:dyDescent="0.25">
      <c r="B14" s="170" t="s">
        <v>317</v>
      </c>
      <c r="C14" s="171"/>
      <c r="D14" s="171"/>
      <c r="E14" s="171"/>
      <c r="F14" s="171"/>
      <c r="G14" s="171"/>
      <c r="H14" s="171"/>
      <c r="I14" s="171"/>
      <c r="J14" s="171"/>
      <c r="K14" s="61"/>
      <c r="L14" s="171"/>
      <c r="M14" s="171"/>
      <c r="N14" s="171"/>
      <c r="O14" s="171"/>
      <c r="P14" s="105"/>
      <c r="Q14" s="12"/>
      <c r="R14" s="170" t="str">
        <f t="shared" ref="R14:R38" si="5">B14</f>
        <v>Operating</v>
      </c>
      <c r="S14" s="170"/>
      <c r="T14" s="171"/>
      <c r="U14" s="171"/>
      <c r="V14" s="171"/>
      <c r="W14" s="171"/>
      <c r="X14" s="171"/>
      <c r="Y14" s="171"/>
      <c r="Z14" s="13"/>
      <c r="AA14" s="105"/>
      <c r="AB14" s="12"/>
      <c r="AJ14" s="13"/>
      <c r="AK14" s="105"/>
    </row>
    <row r="15" spans="1:37" hidden="1" outlineLevel="1" x14ac:dyDescent="0.25">
      <c r="B15" s="168" t="s">
        <v>21</v>
      </c>
      <c r="C15" s="200">
        <f>Operations!D156</f>
        <v>0</v>
      </c>
      <c r="D15" s="200">
        <f>Operations!E156</f>
        <v>0</v>
      </c>
      <c r="E15" s="200">
        <f>Operations!F156</f>
        <v>0</v>
      </c>
      <c r="F15" s="200">
        <f>Operations!G156</f>
        <v>0</v>
      </c>
      <c r="G15" s="200">
        <f>Operations!H156</f>
        <v>43701.215999999993</v>
      </c>
      <c r="H15" s="200">
        <f>Operations!I156</f>
        <v>50589.620172000003</v>
      </c>
      <c r="I15" s="200">
        <f>Operations!J156</f>
        <v>58563.809051611519</v>
      </c>
      <c r="J15" s="200">
        <f>Operations!K156</f>
        <v>67794.929453371791</v>
      </c>
      <c r="K15" s="61"/>
      <c r="L15" s="200">
        <f>Operations!M156</f>
        <v>581722.15225878195</v>
      </c>
      <c r="M15" s="200">
        <f>Operations!N156</f>
        <v>1044689.4071211424</v>
      </c>
      <c r="N15" s="200">
        <f>Operations!O156</f>
        <v>1876112.0805068123</v>
      </c>
      <c r="O15" s="200">
        <f>Operations!P156</f>
        <v>3369227.748104698</v>
      </c>
      <c r="Q15" s="12"/>
      <c r="R15" s="168" t="str">
        <f t="shared" si="5"/>
        <v>Revenues</v>
      </c>
      <c r="S15" s="168"/>
      <c r="T15" s="200">
        <f t="shared" ref="T15:T34" si="6">SUM(C15:F15)</f>
        <v>0</v>
      </c>
      <c r="U15" s="200">
        <f t="shared" ref="U15:U34" si="7">SUM(G15:J15)</f>
        <v>220649.57467698329</v>
      </c>
      <c r="V15" s="200">
        <f t="shared" ref="V15:Y36" si="8">L15</f>
        <v>581722.15225878195</v>
      </c>
      <c r="W15" s="200">
        <f t="shared" si="8"/>
        <v>1044689.4071211424</v>
      </c>
      <c r="X15" s="200">
        <f t="shared" si="8"/>
        <v>1876112.0805068123</v>
      </c>
      <c r="Y15" s="200">
        <f t="shared" si="8"/>
        <v>3369227.748104698</v>
      </c>
      <c r="Z15" s="13"/>
      <c r="AB15" s="12"/>
      <c r="AJ15" s="13"/>
    </row>
    <row r="16" spans="1:37" hidden="1" outlineLevel="1" x14ac:dyDescent="0.25">
      <c r="B16" s="201" t="s">
        <v>318</v>
      </c>
      <c r="C16" s="200">
        <f>Operations!D220*-1</f>
        <v>0</v>
      </c>
      <c r="D16" s="200">
        <f>Operations!E220*-1</f>
        <v>0</v>
      </c>
      <c r="E16" s="200">
        <f>Operations!F220*-1</f>
        <v>0</v>
      </c>
      <c r="F16" s="200">
        <f>Operations!G220*-1</f>
        <v>0</v>
      </c>
      <c r="G16" s="200">
        <f>Operations!H220*-1</f>
        <v>-2021.2962431999999</v>
      </c>
      <c r="H16" s="200">
        <f>Operations!I220*-1</f>
        <v>-2339.9030635344002</v>
      </c>
      <c r="I16" s="200">
        <f>Operations!J220*-1</f>
        <v>-2708.7302839240115</v>
      </c>
      <c r="J16" s="200">
        <f>Operations!K220*-1</f>
        <v>-3135.6938949275336</v>
      </c>
      <c r="K16" s="61"/>
      <c r="L16" s="200">
        <f>Operations!M220*-1</f>
        <v>-23670.021258815006</v>
      </c>
      <c r="M16" s="200">
        <f>Operations!N220*-1</f>
        <v>-44208.275711310096</v>
      </c>
      <c r="N16" s="200">
        <f>Operations!O220*-1</f>
        <v>-82567.380062634184</v>
      </c>
      <c r="O16" s="200">
        <f>Operations!P220*-1</f>
        <v>-154210.31788089732</v>
      </c>
      <c r="Q16" s="12"/>
      <c r="R16" s="201" t="str">
        <f t="shared" si="5"/>
        <v>COGS</v>
      </c>
      <c r="S16" s="201"/>
      <c r="T16" s="200">
        <f t="shared" si="6"/>
        <v>0</v>
      </c>
      <c r="U16" s="200">
        <f t="shared" si="7"/>
        <v>-10205.623485585946</v>
      </c>
      <c r="V16" s="200">
        <f t="shared" si="8"/>
        <v>-23670.021258815006</v>
      </c>
      <c r="W16" s="200">
        <f t="shared" si="8"/>
        <v>-44208.275711310096</v>
      </c>
      <c r="X16" s="200">
        <f t="shared" si="8"/>
        <v>-82567.380062634184</v>
      </c>
      <c r="Y16" s="200">
        <f t="shared" si="8"/>
        <v>-154210.31788089732</v>
      </c>
      <c r="Z16" s="13"/>
      <c r="AB16" s="12"/>
      <c r="AJ16" s="13"/>
    </row>
    <row r="17" spans="2:37" hidden="1" outlineLevel="1" x14ac:dyDescent="0.25">
      <c r="B17" s="201" t="s">
        <v>319</v>
      </c>
      <c r="C17" s="200">
        <f>Operations!D462*-1</f>
        <v>-12750</v>
      </c>
      <c r="D17" s="200">
        <f>Operations!E462*-1</f>
        <v>-12750</v>
      </c>
      <c r="E17" s="200">
        <f>Operations!F462*-1</f>
        <v>-28062.5</v>
      </c>
      <c r="F17" s="200">
        <f>Operations!G462*-1</f>
        <v>-28062.5</v>
      </c>
      <c r="G17" s="200">
        <f>Operations!H462*-1</f>
        <v>-57442.5</v>
      </c>
      <c r="H17" s="200">
        <f>Operations!I462*-1</f>
        <v>-75255</v>
      </c>
      <c r="I17" s="200">
        <f>Operations!J462*-1</f>
        <v>-88117.5</v>
      </c>
      <c r="J17" s="200">
        <f>Operations!K462*-1</f>
        <v>-116292.5</v>
      </c>
      <c r="K17" s="61"/>
      <c r="L17" s="200">
        <f>Operations!M462*-1</f>
        <v>-664314.80000000005</v>
      </c>
      <c r="M17" s="200">
        <f>Operations!N462*-1</f>
        <v>-670365.48</v>
      </c>
      <c r="N17" s="200">
        <f>Operations!O462*-1</f>
        <v>-738415.82031999994</v>
      </c>
      <c r="O17" s="200">
        <f>Operations!P462*-1</f>
        <v>-746074.41485120007</v>
      </c>
      <c r="P17" s="106"/>
      <c r="Q17" s="12"/>
      <c r="R17" s="201" t="str">
        <f t="shared" si="5"/>
        <v>Operating Expenses</v>
      </c>
      <c r="S17" s="201"/>
      <c r="T17" s="200">
        <f t="shared" si="6"/>
        <v>-81625</v>
      </c>
      <c r="U17" s="200">
        <f t="shared" si="7"/>
        <v>-337107.5</v>
      </c>
      <c r="V17" s="200">
        <f t="shared" si="8"/>
        <v>-664314.80000000005</v>
      </c>
      <c r="W17" s="200">
        <f t="shared" si="8"/>
        <v>-670365.48</v>
      </c>
      <c r="X17" s="200">
        <f t="shared" si="8"/>
        <v>-738415.82031999994</v>
      </c>
      <c r="Y17" s="200">
        <f t="shared" si="8"/>
        <v>-746074.41485120007</v>
      </c>
      <c r="Z17" s="13"/>
      <c r="AA17" s="106"/>
      <c r="AB17" s="12"/>
      <c r="AJ17" s="13"/>
      <c r="AK17" s="106"/>
    </row>
    <row r="18" spans="2:37" ht="21" hidden="1" customHeight="1" outlineLevel="1" x14ac:dyDescent="0.25">
      <c r="B18" s="225" t="str">
        <f>Operations!C537</f>
        <v>Change in Net Working Capital</v>
      </c>
      <c r="C18" s="200">
        <f>Operations!D537</f>
        <v>0</v>
      </c>
      <c r="D18" s="200">
        <f>Operations!E537</f>
        <v>0</v>
      </c>
      <c r="E18" s="200">
        <f>Operations!F537</f>
        <v>0</v>
      </c>
      <c r="F18" s="200">
        <f>Operations!G537</f>
        <v>0</v>
      </c>
      <c r="G18" s="200">
        <f>Operations!H537</f>
        <v>-4567.6624391013684</v>
      </c>
      <c r="H18" s="200">
        <f>Operations!I537</f>
        <v>-719.97779196335523</v>
      </c>
      <c r="I18" s="200">
        <f>Operations!J537</f>
        <v>-833.46429142157831</v>
      </c>
      <c r="J18" s="200">
        <f>Operations!K537</f>
        <v>-964.83910035690405</v>
      </c>
      <c r="K18" s="61"/>
      <c r="L18" s="200">
        <f>Operations!M537</f>
        <v>-8203.155856607942</v>
      </c>
      <c r="M18" s="200">
        <f>Operations!N537</f>
        <v>-12121.342476982614</v>
      </c>
      <c r="N18" s="200">
        <f>Operations!O537</f>
        <v>-21727.769014639609</v>
      </c>
      <c r="O18" s="200">
        <f>Operations!P537</f>
        <v>-38944.458350126653</v>
      </c>
      <c r="Q18" s="12"/>
      <c r="R18" s="225" t="str">
        <f t="shared" si="5"/>
        <v>Change in Net Working Capital</v>
      </c>
      <c r="S18" s="201"/>
      <c r="T18" s="200">
        <f t="shared" si="6"/>
        <v>0</v>
      </c>
      <c r="U18" s="200">
        <f t="shared" si="7"/>
        <v>-7085.943622843206</v>
      </c>
      <c r="V18" s="200">
        <f t="shared" si="8"/>
        <v>-8203.155856607942</v>
      </c>
      <c r="W18" s="200">
        <f t="shared" si="8"/>
        <v>-12121.342476982614</v>
      </c>
      <c r="X18" s="200">
        <f t="shared" si="8"/>
        <v>-21727.769014639609</v>
      </c>
      <c r="Y18" s="200">
        <f t="shared" si="8"/>
        <v>-38944.458350126653</v>
      </c>
      <c r="Z18" s="13"/>
      <c r="AB18" s="12"/>
      <c r="AJ18" s="13"/>
    </row>
    <row r="19" spans="2:37" ht="15.75" hidden="1" outlineLevel="1" thickBot="1" x14ac:dyDescent="0.3">
      <c r="B19" s="222" t="s">
        <v>320</v>
      </c>
      <c r="C19" s="202">
        <f>C100</f>
        <v>0</v>
      </c>
      <c r="D19" s="202">
        <f t="shared" ref="D19:J19" si="9">D100</f>
        <v>0</v>
      </c>
      <c r="E19" s="202">
        <f t="shared" si="9"/>
        <v>0</v>
      </c>
      <c r="F19" s="202">
        <f t="shared" si="9"/>
        <v>0</v>
      </c>
      <c r="G19" s="202">
        <f t="shared" si="9"/>
        <v>0</v>
      </c>
      <c r="H19" s="202">
        <f t="shared" si="9"/>
        <v>0</v>
      </c>
      <c r="I19" s="202">
        <f t="shared" si="9"/>
        <v>0</v>
      </c>
      <c r="J19" s="202">
        <f t="shared" si="9"/>
        <v>0</v>
      </c>
      <c r="K19" s="61"/>
      <c r="L19" s="202">
        <f>L100</f>
        <v>0</v>
      </c>
      <c r="M19" s="202">
        <f t="shared" ref="M19:O19" si="10">M100</f>
        <v>-48647.347711474846</v>
      </c>
      <c r="N19" s="202">
        <f t="shared" si="10"/>
        <v>-157399.33201862674</v>
      </c>
      <c r="O19" s="202">
        <f t="shared" si="10"/>
        <v>-369471.45230589004</v>
      </c>
      <c r="Q19" s="12"/>
      <c r="R19" s="201" t="str">
        <f t="shared" si="5"/>
        <v>Taxes</v>
      </c>
      <c r="S19" s="201"/>
      <c r="T19" s="200">
        <f t="shared" si="6"/>
        <v>0</v>
      </c>
      <c r="U19" s="200">
        <f t="shared" si="7"/>
        <v>0</v>
      </c>
      <c r="V19" s="200">
        <f t="shared" si="8"/>
        <v>0</v>
      </c>
      <c r="W19" s="200">
        <f t="shared" si="8"/>
        <v>-48647.347711474846</v>
      </c>
      <c r="X19" s="200">
        <f t="shared" si="8"/>
        <v>-157399.33201862674</v>
      </c>
      <c r="Y19" s="200">
        <f t="shared" si="8"/>
        <v>-369471.45230589004</v>
      </c>
      <c r="Z19" s="13"/>
      <c r="AB19" s="12"/>
      <c r="AJ19" s="13"/>
    </row>
    <row r="20" spans="2:37" ht="15.75" hidden="1" outlineLevel="1" thickBot="1" x14ac:dyDescent="0.3">
      <c r="B20" s="98" t="s">
        <v>321</v>
      </c>
      <c r="C20" s="114">
        <f t="shared" ref="C20:J20" si="11">SUM(C15:C19)</f>
        <v>-12750</v>
      </c>
      <c r="D20" s="114">
        <f t="shared" si="11"/>
        <v>-12750</v>
      </c>
      <c r="E20" s="114">
        <f t="shared" si="11"/>
        <v>-28062.5</v>
      </c>
      <c r="F20" s="114">
        <f t="shared" si="11"/>
        <v>-28062.5</v>
      </c>
      <c r="G20" s="114">
        <f t="shared" si="11"/>
        <v>-20330.242682301374</v>
      </c>
      <c r="H20" s="114">
        <f t="shared" si="11"/>
        <v>-27725.260683497756</v>
      </c>
      <c r="I20" s="114">
        <f t="shared" si="11"/>
        <v>-33095.885523734076</v>
      </c>
      <c r="J20" s="115">
        <f t="shared" si="11"/>
        <v>-52598.103541912649</v>
      </c>
      <c r="K20" s="61"/>
      <c r="L20" s="116">
        <f>SUM(L15:L19)</f>
        <v>-114465.824856641</v>
      </c>
      <c r="M20" s="114">
        <f>SUM(M15:M19)</f>
        <v>269346.9612213748</v>
      </c>
      <c r="N20" s="114">
        <f>SUM(N15:N19)</f>
        <v>876001.77909091185</v>
      </c>
      <c r="O20" s="115">
        <f>SUM(O15:O19)</f>
        <v>2060527.1047165836</v>
      </c>
      <c r="P20" s="106"/>
      <c r="Q20" s="12"/>
      <c r="R20" s="78" t="str">
        <f t="shared" si="5"/>
        <v>Total Operating</v>
      </c>
      <c r="S20" s="78"/>
      <c r="T20" s="110">
        <f t="shared" si="6"/>
        <v>-81625</v>
      </c>
      <c r="U20" s="110">
        <f t="shared" si="7"/>
        <v>-133749.49243144586</v>
      </c>
      <c r="V20" s="110">
        <f t="shared" si="8"/>
        <v>-114465.824856641</v>
      </c>
      <c r="W20" s="110">
        <f t="shared" si="8"/>
        <v>269346.9612213748</v>
      </c>
      <c r="X20" s="110">
        <f t="shared" si="8"/>
        <v>876001.77909091185</v>
      </c>
      <c r="Y20" s="110">
        <f t="shared" si="8"/>
        <v>2060527.1047165836</v>
      </c>
      <c r="Z20" s="13"/>
      <c r="AA20" s="106"/>
      <c r="AB20" s="35"/>
      <c r="AC20" s="36"/>
      <c r="AD20" s="36"/>
      <c r="AE20" s="36"/>
      <c r="AF20" s="36"/>
      <c r="AG20" s="36"/>
      <c r="AH20" s="36"/>
      <c r="AI20" s="36"/>
      <c r="AJ20" s="37"/>
      <c r="AK20" s="106"/>
    </row>
    <row r="21" spans="2:37" ht="15.75" hidden="1" outlineLevel="1" thickTop="1" x14ac:dyDescent="0.25">
      <c r="C21" s="12"/>
      <c r="J21" s="13"/>
      <c r="K21" s="27"/>
      <c r="L21" s="12"/>
      <c r="O21" s="13"/>
      <c r="Q21" s="12"/>
      <c r="R21" s="81"/>
      <c r="S21" s="81"/>
      <c r="T21" s="81"/>
      <c r="U21" s="81"/>
      <c r="V21" s="81"/>
      <c r="W21" s="81"/>
      <c r="X21" s="81"/>
      <c r="Y21" s="81"/>
      <c r="Z21" s="13"/>
      <c r="AB21" s="41"/>
      <c r="AC21" s="42"/>
      <c r="AD21" s="42"/>
      <c r="AE21" s="42"/>
      <c r="AF21" s="42"/>
      <c r="AG21" s="42"/>
      <c r="AH21" s="42"/>
      <c r="AI21" s="42"/>
      <c r="AJ21" s="43"/>
    </row>
    <row r="22" spans="2:37" ht="18" hidden="1" outlineLevel="1" thickBot="1" x14ac:dyDescent="0.35">
      <c r="B22" s="170" t="s">
        <v>322</v>
      </c>
      <c r="C22" s="171"/>
      <c r="D22" s="171"/>
      <c r="E22" s="171"/>
      <c r="F22" s="171"/>
      <c r="G22" s="171"/>
      <c r="H22" s="171"/>
      <c r="I22" s="171"/>
      <c r="J22" s="171"/>
      <c r="K22" s="61"/>
      <c r="L22" s="171"/>
      <c r="M22" s="171"/>
      <c r="N22" s="171"/>
      <c r="O22" s="171"/>
      <c r="Q22" s="12"/>
      <c r="R22" s="170" t="str">
        <f t="shared" si="5"/>
        <v>Investing</v>
      </c>
      <c r="S22" s="170"/>
      <c r="T22" s="171"/>
      <c r="U22" s="171"/>
      <c r="V22" s="171"/>
      <c r="W22" s="171"/>
      <c r="X22" s="171"/>
      <c r="Y22" s="171"/>
      <c r="Z22" s="13"/>
      <c r="AB22" s="12"/>
      <c r="AC22" s="17" t="s">
        <v>323</v>
      </c>
      <c r="AJ22" s="13"/>
    </row>
    <row r="23" spans="2:37" ht="15.75" hidden="1" outlineLevel="1" thickTop="1" x14ac:dyDescent="0.25">
      <c r="B23" s="201" t="s">
        <v>324</v>
      </c>
      <c r="C23" s="200">
        <f>Operations!D430*-1</f>
        <v>0</v>
      </c>
      <c r="D23" s="200">
        <f>Operations!E430*-1</f>
        <v>0</v>
      </c>
      <c r="E23" s="200">
        <f>Operations!F430*-1</f>
        <v>0</v>
      </c>
      <c r="F23" s="200">
        <f>Operations!G430*-1</f>
        <v>0</v>
      </c>
      <c r="G23" s="200">
        <f>Operations!H430*-1</f>
        <v>-29000</v>
      </c>
      <c r="H23" s="200">
        <f>Operations!I430*-1</f>
        <v>0</v>
      </c>
      <c r="I23" s="200">
        <f>Operations!J430*-1</f>
        <v>0</v>
      </c>
      <c r="J23" s="200">
        <f>Operations!K430*-1</f>
        <v>0</v>
      </c>
      <c r="K23" s="61"/>
      <c r="L23" s="200">
        <f>Operations!M430*-1</f>
        <v>0</v>
      </c>
      <c r="M23" s="200">
        <f>Operations!N430*-1</f>
        <v>0</v>
      </c>
      <c r="N23" s="200">
        <f>Operations!O430*-1</f>
        <v>0</v>
      </c>
      <c r="O23" s="200">
        <f>Operations!P430*-1</f>
        <v>0</v>
      </c>
      <c r="Q23" s="12"/>
      <c r="R23" s="201" t="str">
        <f t="shared" si="5"/>
        <v>Capital Expenses</v>
      </c>
      <c r="S23" s="201"/>
      <c r="T23" s="200">
        <f t="shared" si="6"/>
        <v>0</v>
      </c>
      <c r="U23" s="200">
        <f t="shared" si="7"/>
        <v>-29000</v>
      </c>
      <c r="V23" s="200">
        <f t="shared" si="8"/>
        <v>0</v>
      </c>
      <c r="W23" s="200">
        <f t="shared" si="8"/>
        <v>0</v>
      </c>
      <c r="X23" s="200">
        <f t="shared" si="8"/>
        <v>0</v>
      </c>
      <c r="Y23" s="200">
        <f t="shared" si="8"/>
        <v>0</v>
      </c>
      <c r="Z23" s="13"/>
      <c r="AB23" s="12"/>
      <c r="AJ23" s="13"/>
    </row>
    <row r="24" spans="2:37" ht="15.75" hidden="1" outlineLevel="1" thickBot="1" x14ac:dyDescent="0.3">
      <c r="B24" s="203" t="s">
        <v>325</v>
      </c>
      <c r="C24" s="202">
        <v>0</v>
      </c>
      <c r="D24" s="202">
        <v>0</v>
      </c>
      <c r="E24" s="202">
        <v>0</v>
      </c>
      <c r="F24" s="202">
        <v>0</v>
      </c>
      <c r="G24" s="202">
        <v>0</v>
      </c>
      <c r="H24" s="202">
        <v>0</v>
      </c>
      <c r="I24" s="202">
        <v>0</v>
      </c>
      <c r="J24" s="202">
        <v>0</v>
      </c>
      <c r="K24" s="61"/>
      <c r="L24" s="202">
        <v>0</v>
      </c>
      <c r="M24" s="202">
        <v>0</v>
      </c>
      <c r="N24" s="202">
        <v>0</v>
      </c>
      <c r="O24" s="202">
        <v>0</v>
      </c>
      <c r="Q24" s="12"/>
      <c r="R24" s="201" t="str">
        <f t="shared" si="5"/>
        <v>Other Investments</v>
      </c>
      <c r="S24" s="201"/>
      <c r="T24" s="200">
        <f>SUM(C24:F24)</f>
        <v>0</v>
      </c>
      <c r="U24" s="200">
        <f t="shared" si="7"/>
        <v>0</v>
      </c>
      <c r="V24" s="200">
        <f t="shared" si="8"/>
        <v>0</v>
      </c>
      <c r="W24" s="200">
        <f t="shared" si="8"/>
        <v>0</v>
      </c>
      <c r="X24" s="200">
        <f t="shared" si="8"/>
        <v>0</v>
      </c>
      <c r="Y24" s="200">
        <f t="shared" si="8"/>
        <v>0</v>
      </c>
      <c r="Z24" s="13"/>
      <c r="AB24" s="12"/>
      <c r="AC24" s="81"/>
      <c r="AD24" s="499" t="s">
        <v>52</v>
      </c>
      <c r="AE24" s="499"/>
      <c r="AF24" s="499"/>
      <c r="AG24" s="499"/>
      <c r="AH24" s="499"/>
      <c r="AI24" s="499"/>
      <c r="AJ24" s="13"/>
    </row>
    <row r="25" spans="2:37" hidden="1" outlineLevel="1" x14ac:dyDescent="0.25">
      <c r="B25" s="204" t="s">
        <v>326</v>
      </c>
      <c r="C25" s="205">
        <f>SUM(C23:C24)</f>
        <v>0</v>
      </c>
      <c r="D25" s="205">
        <f t="shared" ref="D25:O25" si="12">SUM(D23:D24)</f>
        <v>0</v>
      </c>
      <c r="E25" s="205">
        <f t="shared" si="12"/>
        <v>0</v>
      </c>
      <c r="F25" s="205">
        <f t="shared" si="12"/>
        <v>0</v>
      </c>
      <c r="G25" s="205">
        <f t="shared" si="12"/>
        <v>-29000</v>
      </c>
      <c r="H25" s="205">
        <f t="shared" si="12"/>
        <v>0</v>
      </c>
      <c r="I25" s="205">
        <f t="shared" si="12"/>
        <v>0</v>
      </c>
      <c r="J25" s="206">
        <f t="shared" si="12"/>
        <v>0</v>
      </c>
      <c r="K25" s="61"/>
      <c r="L25" s="207">
        <f t="shared" si="12"/>
        <v>0</v>
      </c>
      <c r="M25" s="205">
        <f t="shared" si="12"/>
        <v>0</v>
      </c>
      <c r="N25" s="205">
        <f t="shared" si="12"/>
        <v>0</v>
      </c>
      <c r="O25" s="206">
        <f t="shared" si="12"/>
        <v>0</v>
      </c>
      <c r="P25" s="106"/>
      <c r="Q25" s="12"/>
      <c r="R25" s="78" t="str">
        <f t="shared" si="5"/>
        <v>Total Investing</v>
      </c>
      <c r="S25" s="78"/>
      <c r="T25" s="110">
        <f t="shared" si="6"/>
        <v>0</v>
      </c>
      <c r="U25" s="110">
        <f t="shared" si="7"/>
        <v>-29000</v>
      </c>
      <c r="V25" s="110">
        <f t="shared" si="8"/>
        <v>0</v>
      </c>
      <c r="W25" s="110">
        <f t="shared" si="8"/>
        <v>0</v>
      </c>
      <c r="X25" s="110">
        <f t="shared" si="8"/>
        <v>0</v>
      </c>
      <c r="Y25" s="110">
        <f t="shared" si="8"/>
        <v>0</v>
      </c>
      <c r="Z25" s="13"/>
      <c r="AA25" s="106"/>
      <c r="AB25" s="12"/>
      <c r="AC25" s="81"/>
      <c r="AD25" s="62" t="s">
        <v>42</v>
      </c>
      <c r="AE25" s="62" t="s">
        <v>43</v>
      </c>
      <c r="AF25" s="62" t="s">
        <v>44</v>
      </c>
      <c r="AG25" s="62" t="s">
        <v>45</v>
      </c>
      <c r="AH25" s="62" t="s">
        <v>46</v>
      </c>
      <c r="AI25" s="62" t="s">
        <v>47</v>
      </c>
      <c r="AJ25" s="13"/>
      <c r="AK25" s="106"/>
    </row>
    <row r="26" spans="2:37" hidden="1" outlineLevel="1" x14ac:dyDescent="0.25">
      <c r="B26" s="170" t="s">
        <v>327</v>
      </c>
      <c r="C26" s="171"/>
      <c r="D26" s="171"/>
      <c r="E26" s="171"/>
      <c r="F26" s="171"/>
      <c r="G26" s="171"/>
      <c r="H26" s="171"/>
      <c r="I26" s="171"/>
      <c r="J26" s="171"/>
      <c r="K26" s="61"/>
      <c r="L26" s="171"/>
      <c r="M26" s="171"/>
      <c r="N26" s="171"/>
      <c r="O26" s="171"/>
      <c r="Q26" s="12"/>
      <c r="R26" s="170" t="str">
        <f t="shared" si="5"/>
        <v>Cash flow before financing</v>
      </c>
      <c r="S26" s="170"/>
      <c r="T26" s="171"/>
      <c r="U26" s="171"/>
      <c r="V26" s="171"/>
      <c r="W26" s="171"/>
      <c r="X26" s="171"/>
      <c r="Y26" s="171"/>
      <c r="Z26" s="13"/>
      <c r="AB26" s="12"/>
      <c r="AC26" s="81"/>
      <c r="AD26" s="77">
        <f>C10</f>
        <v>46023</v>
      </c>
      <c r="AE26" s="77">
        <f>G10</f>
        <v>46388</v>
      </c>
      <c r="AF26" s="77">
        <f>L10</f>
        <v>46753</v>
      </c>
      <c r="AG26" s="77">
        <f>M10</f>
        <v>47119</v>
      </c>
      <c r="AH26" s="77">
        <f>N10</f>
        <v>47484</v>
      </c>
      <c r="AI26" s="77">
        <f>O10</f>
        <v>47849</v>
      </c>
      <c r="AJ26" s="13"/>
    </row>
    <row r="27" spans="2:37" hidden="1" outlineLevel="1" x14ac:dyDescent="0.25">
      <c r="B27" s="182" t="s">
        <v>328</v>
      </c>
      <c r="C27" s="110">
        <f t="shared" ref="C27:J27" si="13">C20+C25</f>
        <v>-12750</v>
      </c>
      <c r="D27" s="110">
        <f t="shared" si="13"/>
        <v>-12750</v>
      </c>
      <c r="E27" s="110">
        <f t="shared" si="13"/>
        <v>-28062.5</v>
      </c>
      <c r="F27" s="110">
        <f t="shared" si="13"/>
        <v>-28062.5</v>
      </c>
      <c r="G27" s="110">
        <f t="shared" si="13"/>
        <v>-49330.242682301374</v>
      </c>
      <c r="H27" s="110">
        <f t="shared" si="13"/>
        <v>-27725.260683497756</v>
      </c>
      <c r="I27" s="110">
        <f t="shared" si="13"/>
        <v>-33095.885523734076</v>
      </c>
      <c r="J27" s="110">
        <f t="shared" si="13"/>
        <v>-52598.103541912649</v>
      </c>
      <c r="K27" s="61"/>
      <c r="L27" s="110">
        <f>L20+L25</f>
        <v>-114465.824856641</v>
      </c>
      <c r="M27" s="110">
        <f>M20+M25</f>
        <v>269346.9612213748</v>
      </c>
      <c r="N27" s="110">
        <f>N20+N25</f>
        <v>876001.77909091185</v>
      </c>
      <c r="O27" s="208">
        <f>O25+O20</f>
        <v>2060527.1047165836</v>
      </c>
      <c r="P27" s="106"/>
      <c r="Q27" s="12"/>
      <c r="R27" s="182" t="str">
        <f>B27</f>
        <v>Cash flows</v>
      </c>
      <c r="S27" s="182"/>
      <c r="T27" s="110">
        <f t="shared" ref="T27:Y27" si="14">T20+T25</f>
        <v>-81625</v>
      </c>
      <c r="U27" s="110">
        <f t="shared" si="14"/>
        <v>-162749.49243144586</v>
      </c>
      <c r="V27" s="110">
        <f t="shared" si="14"/>
        <v>-114465.824856641</v>
      </c>
      <c r="W27" s="110">
        <f t="shared" si="14"/>
        <v>269346.9612213748</v>
      </c>
      <c r="X27" s="110">
        <f t="shared" si="14"/>
        <v>876001.77909091185</v>
      </c>
      <c r="Y27" s="110">
        <f t="shared" si="14"/>
        <v>2060527.1047165836</v>
      </c>
      <c r="Z27" s="13"/>
      <c r="AB27" s="12"/>
      <c r="AC27" s="59" t="str">
        <f>R36</f>
        <v>Cash Flow</v>
      </c>
      <c r="AD27" s="200">
        <f>T36</f>
        <v>18375</v>
      </c>
      <c r="AE27" s="200">
        <f t="shared" ref="AE27:AI27" si="15">U36</f>
        <v>137250.50756855411</v>
      </c>
      <c r="AF27" s="200">
        <f t="shared" si="15"/>
        <v>285534.175143359</v>
      </c>
      <c r="AG27" s="200">
        <f t="shared" si="15"/>
        <v>469346.9612213748</v>
      </c>
      <c r="AH27" s="200">
        <f t="shared" si="15"/>
        <v>976001.77909091185</v>
      </c>
      <c r="AI27" s="200">
        <f t="shared" si="15"/>
        <v>2060527.1047165836</v>
      </c>
      <c r="AJ27" s="13"/>
    </row>
    <row r="28" spans="2:37" hidden="1" outlineLevel="1" x14ac:dyDescent="0.25">
      <c r="B28" s="182" t="s">
        <v>329</v>
      </c>
      <c r="C28" s="110">
        <f>C27</f>
        <v>-12750</v>
      </c>
      <c r="D28" s="110">
        <f t="shared" ref="D28:J28" si="16">C28+D27</f>
        <v>-25500</v>
      </c>
      <c r="E28" s="110">
        <f t="shared" si="16"/>
        <v>-53562.5</v>
      </c>
      <c r="F28" s="110">
        <f t="shared" si="16"/>
        <v>-81625</v>
      </c>
      <c r="G28" s="110">
        <f t="shared" si="16"/>
        <v>-130955.24268230138</v>
      </c>
      <c r="H28" s="110">
        <f t="shared" si="16"/>
        <v>-158680.50336579914</v>
      </c>
      <c r="I28" s="110">
        <f t="shared" si="16"/>
        <v>-191776.38888953323</v>
      </c>
      <c r="J28" s="110">
        <f t="shared" si="16"/>
        <v>-244374.49243144589</v>
      </c>
      <c r="K28" s="61"/>
      <c r="L28" s="110">
        <f>L27</f>
        <v>-114465.824856641</v>
      </c>
      <c r="M28" s="110">
        <f>L28+M27</f>
        <v>154881.1363647338</v>
      </c>
      <c r="N28" s="110">
        <f>M28+N27</f>
        <v>1030882.9154556456</v>
      </c>
      <c r="O28" s="208">
        <f>N28+O27</f>
        <v>3091410.020172229</v>
      </c>
      <c r="P28" s="106"/>
      <c r="Q28" s="12"/>
      <c r="R28" s="182" t="str">
        <f>B28</f>
        <v>Ending cash balance</v>
      </c>
      <c r="S28" s="182"/>
      <c r="T28" s="110">
        <f>T27</f>
        <v>-81625</v>
      </c>
      <c r="U28" s="110">
        <f>T28+U27</f>
        <v>-244374.49243144586</v>
      </c>
      <c r="V28" s="110">
        <f>U28+V27</f>
        <v>-358840.31728808687</v>
      </c>
      <c r="W28" s="110">
        <f>V28+W27</f>
        <v>-89493.356066712062</v>
      </c>
      <c r="X28" s="110">
        <f>W28+X27</f>
        <v>786508.42302419979</v>
      </c>
      <c r="Y28" s="110">
        <f>X28+Y27</f>
        <v>2847035.5277407835</v>
      </c>
      <c r="Z28" s="13"/>
      <c r="AB28" s="12"/>
      <c r="AC28" s="59" t="str">
        <f>R38</f>
        <v>Ending Cash Balance</v>
      </c>
      <c r="AD28" s="200">
        <f>T38</f>
        <v>18375</v>
      </c>
      <c r="AE28" s="200">
        <f t="shared" ref="AE28:AI28" si="17">U38</f>
        <v>155625.50756855411</v>
      </c>
      <c r="AF28" s="200">
        <f t="shared" si="17"/>
        <v>441159.68271191313</v>
      </c>
      <c r="AG28" s="200">
        <f t="shared" si="17"/>
        <v>910506.64393328794</v>
      </c>
      <c r="AH28" s="200">
        <f t="shared" si="17"/>
        <v>1886508.4230241999</v>
      </c>
      <c r="AI28" s="200">
        <f t="shared" si="17"/>
        <v>3947035.5277407835</v>
      </c>
      <c r="AJ28" s="13"/>
    </row>
    <row r="29" spans="2:37" hidden="1" outlineLevel="1" x14ac:dyDescent="0.25">
      <c r="C29" s="12"/>
      <c r="J29" s="13"/>
      <c r="K29" s="27"/>
      <c r="L29" s="12"/>
      <c r="O29" s="13"/>
      <c r="Q29" s="12"/>
      <c r="R29" s="81"/>
      <c r="S29" s="81"/>
      <c r="T29" s="81"/>
      <c r="U29" s="81"/>
      <c r="V29" s="81"/>
      <c r="W29" s="81"/>
      <c r="X29" s="81"/>
      <c r="Y29" s="81"/>
      <c r="Z29" s="13"/>
      <c r="AB29" s="12"/>
      <c r="AJ29" s="13"/>
    </row>
    <row r="30" spans="2:37" hidden="1" outlineLevel="1" x14ac:dyDescent="0.25">
      <c r="B30" s="187" t="s">
        <v>330</v>
      </c>
      <c r="C30" s="165"/>
      <c r="D30" s="166"/>
      <c r="E30" s="166"/>
      <c r="F30" s="166"/>
      <c r="G30" s="166"/>
      <c r="H30" s="166"/>
      <c r="I30" s="166"/>
      <c r="J30" s="167"/>
      <c r="K30" s="27"/>
      <c r="L30" s="165"/>
      <c r="M30" s="166"/>
      <c r="N30" s="166"/>
      <c r="O30" s="167"/>
      <c r="Q30" s="12"/>
      <c r="R30" s="170" t="str">
        <f t="shared" si="5"/>
        <v>Financing</v>
      </c>
      <c r="S30" s="170"/>
      <c r="T30" s="171"/>
      <c r="U30" s="171"/>
      <c r="V30" s="171"/>
      <c r="W30" s="171"/>
      <c r="X30" s="171"/>
      <c r="Y30" s="171"/>
      <c r="Z30" s="13"/>
      <c r="AB30" s="12"/>
      <c r="AJ30" s="13"/>
    </row>
    <row r="31" spans="2:37" hidden="1" outlineLevel="1" x14ac:dyDescent="0.25">
      <c r="B31" s="201" t="s">
        <v>331</v>
      </c>
      <c r="C31" s="200">
        <f>Operations!D583</f>
        <v>100000</v>
      </c>
      <c r="D31" s="200">
        <f>Operations!E583</f>
        <v>0</v>
      </c>
      <c r="E31" s="200">
        <f>Operations!F583</f>
        <v>0</v>
      </c>
      <c r="F31" s="200">
        <f>Operations!G583</f>
        <v>0</v>
      </c>
      <c r="G31" s="200">
        <f>Operations!H583</f>
        <v>300000</v>
      </c>
      <c r="H31" s="200">
        <f>Operations!I583</f>
        <v>0</v>
      </c>
      <c r="I31" s="200">
        <f>Operations!J583</f>
        <v>0</v>
      </c>
      <c r="J31" s="200">
        <f>Operations!K583</f>
        <v>0</v>
      </c>
      <c r="K31" s="61"/>
      <c r="L31" s="200">
        <f>Operations!M583</f>
        <v>400000</v>
      </c>
      <c r="M31" s="200">
        <f>Operations!N583</f>
        <v>200000</v>
      </c>
      <c r="N31" s="200">
        <f>Operations!O583</f>
        <v>100000</v>
      </c>
      <c r="O31" s="200">
        <f>Operations!P583</f>
        <v>0</v>
      </c>
      <c r="Q31" s="12"/>
      <c r="R31" s="201" t="str">
        <f t="shared" si="5"/>
        <v>Equity Funding</v>
      </c>
      <c r="S31" s="201"/>
      <c r="T31" s="200">
        <f t="shared" si="6"/>
        <v>100000</v>
      </c>
      <c r="U31" s="200">
        <f t="shared" si="7"/>
        <v>300000</v>
      </c>
      <c r="V31" s="200">
        <f t="shared" si="8"/>
        <v>400000</v>
      </c>
      <c r="W31" s="200">
        <f t="shared" si="8"/>
        <v>200000</v>
      </c>
      <c r="X31" s="200">
        <f t="shared" si="8"/>
        <v>100000</v>
      </c>
      <c r="Y31" s="200">
        <f t="shared" si="8"/>
        <v>0</v>
      </c>
      <c r="Z31" s="13"/>
      <c r="AA31" s="106"/>
      <c r="AB31" s="12"/>
      <c r="AJ31" s="13"/>
      <c r="AK31" s="106"/>
    </row>
    <row r="32" spans="2:37" hidden="1" outlineLevel="1" x14ac:dyDescent="0.25">
      <c r="B32" s="201" t="s">
        <v>276</v>
      </c>
      <c r="C32" s="200">
        <f>Operations!D595</f>
        <v>0</v>
      </c>
      <c r="D32" s="200">
        <f>Operations!E595</f>
        <v>0</v>
      </c>
      <c r="E32" s="200">
        <f>Operations!F595</f>
        <v>0</v>
      </c>
      <c r="F32" s="200">
        <f>Operations!G595</f>
        <v>0</v>
      </c>
      <c r="G32" s="200">
        <f>Operations!H595</f>
        <v>0</v>
      </c>
      <c r="H32" s="200">
        <f>Operations!I595</f>
        <v>0</v>
      </c>
      <c r="I32" s="200">
        <f>Operations!J595</f>
        <v>0</v>
      </c>
      <c r="J32" s="200">
        <f>Operations!K595</f>
        <v>0</v>
      </c>
      <c r="K32" s="61"/>
      <c r="L32" s="200">
        <f>Operations!K595</f>
        <v>0</v>
      </c>
      <c r="M32" s="200">
        <f>Operations!L595</f>
        <v>0</v>
      </c>
      <c r="N32" s="200">
        <f>Operations!M595</f>
        <v>0</v>
      </c>
      <c r="O32" s="200">
        <f>Operations!N595</f>
        <v>0</v>
      </c>
      <c r="Q32" s="12"/>
      <c r="R32" s="201" t="str">
        <f t="shared" si="5"/>
        <v>Change in Debt</v>
      </c>
      <c r="S32" s="201"/>
      <c r="T32" s="200">
        <f t="shared" si="6"/>
        <v>0</v>
      </c>
      <c r="U32" s="200">
        <f t="shared" si="7"/>
        <v>0</v>
      </c>
      <c r="V32" s="200">
        <f t="shared" si="8"/>
        <v>0</v>
      </c>
      <c r="W32" s="200">
        <f t="shared" si="8"/>
        <v>0</v>
      </c>
      <c r="X32" s="200">
        <f t="shared" si="8"/>
        <v>0</v>
      </c>
      <c r="Y32" s="200">
        <f t="shared" si="8"/>
        <v>0</v>
      </c>
      <c r="Z32" s="13"/>
      <c r="AB32" s="12"/>
      <c r="AJ32" s="13"/>
    </row>
    <row r="33" spans="2:36" ht="15.75" hidden="1" outlineLevel="1" thickBot="1" x14ac:dyDescent="0.3">
      <c r="B33" s="203" t="s">
        <v>277</v>
      </c>
      <c r="C33" s="202">
        <f>Operations!D608*-1</f>
        <v>0</v>
      </c>
      <c r="D33" s="202">
        <f>Operations!E608*-1</f>
        <v>0</v>
      </c>
      <c r="E33" s="202">
        <f>Operations!F608*-1</f>
        <v>0</v>
      </c>
      <c r="F33" s="202">
        <f>Operations!G608*-1</f>
        <v>0</v>
      </c>
      <c r="G33" s="202">
        <f>Operations!H608*-1</f>
        <v>0</v>
      </c>
      <c r="H33" s="202">
        <f>Operations!I608*-1</f>
        <v>0</v>
      </c>
      <c r="I33" s="202">
        <f>Operations!J608*-1</f>
        <v>0</v>
      </c>
      <c r="J33" s="202">
        <f>Operations!K608*-1</f>
        <v>0</v>
      </c>
      <c r="K33" s="61"/>
      <c r="L33" s="202">
        <f>Operations!M608*-1</f>
        <v>0</v>
      </c>
      <c r="M33" s="202">
        <f>Operations!N608*-1</f>
        <v>0</v>
      </c>
      <c r="N33" s="202">
        <f>Operations!O608*-1</f>
        <v>0</v>
      </c>
      <c r="O33" s="202">
        <f>Operations!P608*-1</f>
        <v>0</v>
      </c>
      <c r="Q33" s="12"/>
      <c r="R33" s="201" t="str">
        <f t="shared" si="5"/>
        <v>Interest Payments</v>
      </c>
      <c r="S33" s="201"/>
      <c r="T33" s="200">
        <f t="shared" si="6"/>
        <v>0</v>
      </c>
      <c r="U33" s="200">
        <f t="shared" si="7"/>
        <v>0</v>
      </c>
      <c r="V33" s="200">
        <f t="shared" si="8"/>
        <v>0</v>
      </c>
      <c r="W33" s="200">
        <f t="shared" si="8"/>
        <v>0</v>
      </c>
      <c r="X33" s="200">
        <f t="shared" si="8"/>
        <v>0</v>
      </c>
      <c r="Y33" s="200">
        <f t="shared" si="8"/>
        <v>0</v>
      </c>
      <c r="Z33" s="13"/>
      <c r="AB33" s="12"/>
      <c r="AJ33" s="13"/>
    </row>
    <row r="34" spans="2:36" ht="15.75" hidden="1" outlineLevel="1" thickBot="1" x14ac:dyDescent="0.3">
      <c r="B34" s="98" t="s">
        <v>332</v>
      </c>
      <c r="C34" s="114">
        <f>SUM(C31:C33)</f>
        <v>100000</v>
      </c>
      <c r="D34" s="114">
        <f t="shared" ref="D34:O34" si="18">SUM(D31:D33)</f>
        <v>0</v>
      </c>
      <c r="E34" s="114">
        <f t="shared" si="18"/>
        <v>0</v>
      </c>
      <c r="F34" s="114">
        <f t="shared" si="18"/>
        <v>0</v>
      </c>
      <c r="G34" s="114">
        <f t="shared" si="18"/>
        <v>300000</v>
      </c>
      <c r="H34" s="114">
        <f t="shared" si="18"/>
        <v>0</v>
      </c>
      <c r="I34" s="114">
        <f t="shared" si="18"/>
        <v>0</v>
      </c>
      <c r="J34" s="115">
        <f t="shared" si="18"/>
        <v>0</v>
      </c>
      <c r="K34" s="61"/>
      <c r="L34" s="116">
        <f t="shared" si="18"/>
        <v>400000</v>
      </c>
      <c r="M34" s="114">
        <f t="shared" si="18"/>
        <v>200000</v>
      </c>
      <c r="N34" s="114">
        <f t="shared" si="18"/>
        <v>100000</v>
      </c>
      <c r="O34" s="115">
        <f t="shared" si="18"/>
        <v>0</v>
      </c>
      <c r="P34" s="106"/>
      <c r="Q34" s="12"/>
      <c r="R34" s="78" t="str">
        <f t="shared" si="5"/>
        <v>Total Financing</v>
      </c>
      <c r="S34" s="78"/>
      <c r="T34" s="110">
        <f t="shared" si="6"/>
        <v>100000</v>
      </c>
      <c r="U34" s="110">
        <f t="shared" si="7"/>
        <v>300000</v>
      </c>
      <c r="V34" s="110">
        <f t="shared" si="8"/>
        <v>400000</v>
      </c>
      <c r="W34" s="110">
        <f t="shared" si="8"/>
        <v>200000</v>
      </c>
      <c r="X34" s="110">
        <f t="shared" si="8"/>
        <v>100000</v>
      </c>
      <c r="Y34" s="110">
        <f t="shared" si="8"/>
        <v>0</v>
      </c>
      <c r="Z34" s="13"/>
      <c r="AB34" s="12"/>
      <c r="AJ34" s="13"/>
    </row>
    <row r="35" spans="2:36" ht="15.75" hidden="1" outlineLevel="1" thickBot="1" x14ac:dyDescent="0.3">
      <c r="C35" s="12"/>
      <c r="J35" s="13"/>
      <c r="K35" s="27"/>
      <c r="L35" s="12"/>
      <c r="O35" s="13"/>
      <c r="Q35" s="12"/>
      <c r="R35" s="81"/>
      <c r="S35" s="81"/>
      <c r="T35" s="81"/>
      <c r="U35" s="81"/>
      <c r="V35" s="81"/>
      <c r="W35" s="81"/>
      <c r="X35" s="81"/>
      <c r="Y35" s="81"/>
      <c r="Z35" s="13"/>
      <c r="AB35" s="12"/>
      <c r="AJ35" s="13"/>
    </row>
    <row r="36" spans="2:36" ht="16.5" hidden="1" outlineLevel="1" thickTop="1" thickBot="1" x14ac:dyDescent="0.3">
      <c r="B36" s="190" t="s">
        <v>333</v>
      </c>
      <c r="C36" s="191">
        <f>SUM(C20,C25,C34)</f>
        <v>87250</v>
      </c>
      <c r="D36" s="192">
        <f t="shared" ref="D36:O36" si="19">SUM(D20,D25,D34)</f>
        <v>-12750</v>
      </c>
      <c r="E36" s="192">
        <f t="shared" si="19"/>
        <v>-28062.5</v>
      </c>
      <c r="F36" s="192">
        <f t="shared" si="19"/>
        <v>-28062.5</v>
      </c>
      <c r="G36" s="192">
        <f t="shared" si="19"/>
        <v>250669.75731769862</v>
      </c>
      <c r="H36" s="192">
        <f t="shared" si="19"/>
        <v>-27725.260683497756</v>
      </c>
      <c r="I36" s="192">
        <f t="shared" si="19"/>
        <v>-33095.885523734076</v>
      </c>
      <c r="J36" s="193">
        <f t="shared" si="19"/>
        <v>-52598.103541912649</v>
      </c>
      <c r="K36" s="27"/>
      <c r="L36" s="191">
        <f t="shared" si="19"/>
        <v>285534.175143359</v>
      </c>
      <c r="M36" s="192">
        <f t="shared" si="19"/>
        <v>469346.9612213748</v>
      </c>
      <c r="N36" s="192">
        <f t="shared" si="19"/>
        <v>976001.77909091185</v>
      </c>
      <c r="O36" s="193">
        <f t="shared" si="19"/>
        <v>2060527.1047165836</v>
      </c>
      <c r="Q36" s="12"/>
      <c r="R36" s="59" t="str">
        <f t="shared" si="5"/>
        <v>Cash Flow</v>
      </c>
      <c r="S36" s="59"/>
      <c r="T36" s="200">
        <f>SUM(C36:F36)</f>
        <v>18375</v>
      </c>
      <c r="U36" s="200">
        <f>SUM(G36:J36)</f>
        <v>137250.50756855411</v>
      </c>
      <c r="V36" s="200">
        <f t="shared" si="8"/>
        <v>285534.175143359</v>
      </c>
      <c r="W36" s="200">
        <f t="shared" si="8"/>
        <v>469346.9612213748</v>
      </c>
      <c r="X36" s="200">
        <f t="shared" si="8"/>
        <v>976001.77909091185</v>
      </c>
      <c r="Y36" s="200">
        <f t="shared" si="8"/>
        <v>2060527.1047165836</v>
      </c>
      <c r="Z36" s="13"/>
      <c r="AB36" s="12"/>
      <c r="AJ36" s="13"/>
    </row>
    <row r="37" spans="2:36" ht="16.5" hidden="1" outlineLevel="1" thickTop="1" thickBot="1" x14ac:dyDescent="0.3">
      <c r="C37" s="12"/>
      <c r="J37" s="13"/>
      <c r="K37" s="27"/>
      <c r="L37" s="12"/>
      <c r="O37" s="13"/>
      <c r="Q37" s="12"/>
      <c r="R37" s="81"/>
      <c r="S37" s="81"/>
      <c r="T37" s="81"/>
      <c r="U37" s="81"/>
      <c r="V37" s="81"/>
      <c r="W37" s="81"/>
      <c r="X37" s="81"/>
      <c r="Y37" s="81"/>
      <c r="Z37" s="13"/>
      <c r="AB37" s="12"/>
      <c r="AJ37" s="13"/>
    </row>
    <row r="38" spans="2:36" ht="16.5" hidden="1" outlineLevel="1" thickTop="1" thickBot="1" x14ac:dyDescent="0.3">
      <c r="B38" s="209" t="s">
        <v>334</v>
      </c>
      <c r="C38" s="293">
        <f t="shared" ref="C38:J38" si="20">C12+C36</f>
        <v>87250</v>
      </c>
      <c r="D38" s="293">
        <f t="shared" si="20"/>
        <v>74500</v>
      </c>
      <c r="E38" s="293">
        <f t="shared" si="20"/>
        <v>46437.5</v>
      </c>
      <c r="F38" s="293">
        <f t="shared" si="20"/>
        <v>18375</v>
      </c>
      <c r="G38" s="293">
        <f t="shared" si="20"/>
        <v>269044.75731769862</v>
      </c>
      <c r="H38" s="293">
        <f t="shared" si="20"/>
        <v>241319.49663420086</v>
      </c>
      <c r="I38" s="293">
        <f t="shared" si="20"/>
        <v>208223.61111046677</v>
      </c>
      <c r="J38" s="374">
        <f t="shared" si="20"/>
        <v>155625.50756855411</v>
      </c>
      <c r="K38" s="61"/>
      <c r="L38" s="374">
        <f>L12+L36</f>
        <v>441159.68271191313</v>
      </c>
      <c r="M38" s="373">
        <f>M12+M36</f>
        <v>910506.64393328794</v>
      </c>
      <c r="N38" s="293">
        <f>N12+N36</f>
        <v>1886508.4230241999</v>
      </c>
      <c r="O38" s="293">
        <f>O12+O36</f>
        <v>3947035.5277407835</v>
      </c>
      <c r="Q38" s="12"/>
      <c r="R38" s="59" t="str">
        <f t="shared" si="5"/>
        <v>Ending Cash Balance</v>
      </c>
      <c r="S38" s="59"/>
      <c r="T38" s="294">
        <f>F38</f>
        <v>18375</v>
      </c>
      <c r="U38" s="294">
        <f>J38</f>
        <v>155625.50756855411</v>
      </c>
      <c r="V38" s="294">
        <f>L38</f>
        <v>441159.68271191313</v>
      </c>
      <c r="W38" s="294">
        <f t="shared" ref="W38:Y38" si="21">M38</f>
        <v>910506.64393328794</v>
      </c>
      <c r="X38" s="294">
        <f t="shared" si="21"/>
        <v>1886508.4230241999</v>
      </c>
      <c r="Y38" s="294">
        <f t="shared" si="21"/>
        <v>3947035.5277407835</v>
      </c>
      <c r="Z38" s="13"/>
      <c r="AB38" s="12"/>
      <c r="AJ38" s="13"/>
    </row>
    <row r="39" spans="2:36" ht="15.75" hidden="1" outlineLevel="1" thickBot="1" x14ac:dyDescent="0.3">
      <c r="Q39" s="35"/>
      <c r="R39" s="36"/>
      <c r="S39" s="36"/>
      <c r="T39" s="36"/>
      <c r="U39" s="36"/>
      <c r="V39" s="36"/>
      <c r="W39" s="36"/>
      <c r="X39" s="36"/>
      <c r="Y39" s="36"/>
      <c r="Z39" s="37"/>
      <c r="AB39" s="12"/>
      <c r="AJ39" s="13"/>
    </row>
    <row r="40" spans="2:36" ht="15.75" hidden="1" outlineLevel="1" thickTop="1" x14ac:dyDescent="0.25">
      <c r="AB40" s="12"/>
      <c r="AJ40" s="13"/>
    </row>
    <row r="41" spans="2:36" ht="15.75" hidden="1" outlineLevel="1" thickBot="1" x14ac:dyDescent="0.3">
      <c r="AB41" s="12"/>
      <c r="AJ41" s="13"/>
    </row>
    <row r="42" spans="2:36" ht="30.75" hidden="1" outlineLevel="1" thickBot="1" x14ac:dyDescent="0.3">
      <c r="R42" s="371" t="s">
        <v>335</v>
      </c>
      <c r="S42" s="372" t="str">
        <f>IF(MIN(C38:J38, L38:O38)&lt;0, "Yes", "No")</f>
        <v>No</v>
      </c>
      <c r="AB42" s="12"/>
      <c r="AJ42" s="13"/>
    </row>
    <row r="43" spans="2:36" hidden="1" outlineLevel="1" x14ac:dyDescent="0.25">
      <c r="AB43" s="12"/>
      <c r="AJ43" s="13"/>
    </row>
    <row r="44" spans="2:36" hidden="1" outlineLevel="1" x14ac:dyDescent="0.25">
      <c r="AB44" s="12"/>
      <c r="AJ44" s="13"/>
    </row>
    <row r="45" spans="2:36" hidden="1" outlineLevel="1" x14ac:dyDescent="0.25">
      <c r="AB45" s="12"/>
      <c r="AJ45" s="13"/>
    </row>
    <row r="46" spans="2:36" hidden="1" outlineLevel="1" x14ac:dyDescent="0.25">
      <c r="AB46" s="12"/>
      <c r="AJ46" s="13"/>
    </row>
    <row r="47" spans="2:36" ht="15.75" hidden="1" outlineLevel="1" thickBot="1" x14ac:dyDescent="0.3">
      <c r="AB47" s="35"/>
      <c r="AC47" s="36"/>
      <c r="AD47" s="36"/>
      <c r="AE47" s="36"/>
      <c r="AF47" s="36"/>
      <c r="AG47" s="36"/>
      <c r="AH47" s="36"/>
      <c r="AI47" s="36"/>
      <c r="AJ47" s="37"/>
    </row>
    <row r="48" spans="2:36" ht="15.75" hidden="1" outlineLevel="1" thickTop="1" x14ac:dyDescent="0.25">
      <c r="AB48" s="41"/>
      <c r="AC48" s="42"/>
      <c r="AD48" s="42"/>
      <c r="AE48" s="42"/>
      <c r="AF48" s="42"/>
      <c r="AG48" s="42"/>
      <c r="AH48" s="42"/>
      <c r="AI48" s="42"/>
      <c r="AJ48" s="43"/>
    </row>
    <row r="49" spans="28:36" ht="18" hidden="1" outlineLevel="1" thickBot="1" x14ac:dyDescent="0.35">
      <c r="AB49" s="12"/>
      <c r="AC49" s="17" t="s">
        <v>336</v>
      </c>
      <c r="AJ49" s="13"/>
    </row>
    <row r="50" spans="28:36" ht="15.75" hidden="1" outlineLevel="1" thickTop="1" x14ac:dyDescent="0.25">
      <c r="AB50" s="12"/>
      <c r="AJ50" s="13"/>
    </row>
    <row r="51" spans="28:36" hidden="1" outlineLevel="1" x14ac:dyDescent="0.25">
      <c r="AB51" s="12"/>
      <c r="AD51" s="545" t="s">
        <v>52</v>
      </c>
      <c r="AE51" s="546"/>
      <c r="AF51" s="546"/>
      <c r="AG51" s="546"/>
      <c r="AH51" s="546"/>
      <c r="AI51" s="547"/>
      <c r="AJ51" s="13"/>
    </row>
    <row r="52" spans="28:36" hidden="1" outlineLevel="1" x14ac:dyDescent="0.25">
      <c r="AB52" s="12"/>
      <c r="AD52" s="28" t="s">
        <v>42</v>
      </c>
      <c r="AE52" s="29" t="s">
        <v>43</v>
      </c>
      <c r="AF52" s="29" t="s">
        <v>44</v>
      </c>
      <c r="AG52" s="29" t="s">
        <v>45</v>
      </c>
      <c r="AH52" s="29" t="s">
        <v>46</v>
      </c>
      <c r="AI52" s="30" t="s">
        <v>47</v>
      </c>
      <c r="AJ52" s="13"/>
    </row>
    <row r="53" spans="28:36" hidden="1" outlineLevel="1" x14ac:dyDescent="0.25">
      <c r="AB53" s="12"/>
      <c r="AD53" s="44">
        <f>T10</f>
        <v>46023</v>
      </c>
      <c r="AE53" s="45">
        <f t="shared" ref="AE53:AI53" si="22">U10</f>
        <v>46388</v>
      </c>
      <c r="AF53" s="45">
        <f t="shared" si="22"/>
        <v>46753</v>
      </c>
      <c r="AG53" s="45">
        <f t="shared" si="22"/>
        <v>47119</v>
      </c>
      <c r="AH53" s="45">
        <f t="shared" si="22"/>
        <v>47484</v>
      </c>
      <c r="AI53" s="46">
        <f t="shared" si="22"/>
        <v>47849</v>
      </c>
      <c r="AJ53" s="13"/>
    </row>
    <row r="54" spans="28:36" hidden="1" outlineLevel="1" x14ac:dyDescent="0.25">
      <c r="AB54" s="12"/>
      <c r="AC54" s="31" t="str">
        <f>R36</f>
        <v>Cash Flow</v>
      </c>
      <c r="AD54" s="200">
        <f>T20+T25</f>
        <v>-81625</v>
      </c>
      <c r="AE54" s="200">
        <f t="shared" ref="AE54:AI54" si="23">U20+U25</f>
        <v>-162749.49243144586</v>
      </c>
      <c r="AF54" s="200">
        <f t="shared" si="23"/>
        <v>-114465.824856641</v>
      </c>
      <c r="AG54" s="200">
        <f t="shared" si="23"/>
        <v>269346.9612213748</v>
      </c>
      <c r="AH54" s="200">
        <f t="shared" si="23"/>
        <v>876001.77909091185</v>
      </c>
      <c r="AI54" s="200">
        <f t="shared" si="23"/>
        <v>2060527.1047165836</v>
      </c>
      <c r="AJ54" s="13"/>
    </row>
    <row r="55" spans="28:36" hidden="1" outlineLevel="1" x14ac:dyDescent="0.25">
      <c r="AB55" s="12"/>
      <c r="AC55" s="31" t="str">
        <f>R38</f>
        <v>Ending Cash Balance</v>
      </c>
      <c r="AD55" s="200">
        <f>AD54</f>
        <v>-81625</v>
      </c>
      <c r="AE55" s="200">
        <f>AD55+AE54</f>
        <v>-244374.49243144586</v>
      </c>
      <c r="AF55" s="200">
        <f t="shared" ref="AF55:AI55" si="24">AE55+AF54</f>
        <v>-358840.31728808687</v>
      </c>
      <c r="AG55" s="200">
        <f t="shared" si="24"/>
        <v>-89493.356066712062</v>
      </c>
      <c r="AH55" s="200">
        <f t="shared" si="24"/>
        <v>786508.42302419979</v>
      </c>
      <c r="AI55" s="200">
        <f t="shared" si="24"/>
        <v>2847035.5277407835</v>
      </c>
      <c r="AJ55" s="13"/>
    </row>
    <row r="56" spans="28:36" hidden="1" outlineLevel="1" x14ac:dyDescent="0.25">
      <c r="AB56" s="12"/>
      <c r="AJ56" s="13"/>
    </row>
    <row r="57" spans="28:36" hidden="1" outlineLevel="1" x14ac:dyDescent="0.25">
      <c r="AB57" s="12"/>
      <c r="AJ57" s="13"/>
    </row>
    <row r="58" spans="28:36" hidden="1" outlineLevel="1" x14ac:dyDescent="0.25">
      <c r="AB58" s="12"/>
      <c r="AJ58" s="13"/>
    </row>
    <row r="59" spans="28:36" hidden="1" outlineLevel="1" x14ac:dyDescent="0.25">
      <c r="AB59" s="12"/>
      <c r="AJ59" s="13"/>
    </row>
    <row r="60" spans="28:36" hidden="1" outlineLevel="1" x14ac:dyDescent="0.25">
      <c r="AB60" s="12"/>
      <c r="AJ60" s="13"/>
    </row>
    <row r="61" spans="28:36" hidden="1" outlineLevel="1" x14ac:dyDescent="0.25">
      <c r="AB61" s="12"/>
      <c r="AJ61" s="13"/>
    </row>
    <row r="62" spans="28:36" hidden="1" outlineLevel="1" x14ac:dyDescent="0.25">
      <c r="AB62" s="12"/>
      <c r="AJ62" s="13"/>
    </row>
    <row r="63" spans="28:36" hidden="1" outlineLevel="1" x14ac:dyDescent="0.25">
      <c r="AB63" s="12"/>
      <c r="AJ63" s="13"/>
    </row>
    <row r="64" spans="28:36" hidden="1" outlineLevel="1" x14ac:dyDescent="0.25">
      <c r="AB64" s="12"/>
      <c r="AJ64" s="13"/>
    </row>
    <row r="65" spans="1:36" hidden="1" outlineLevel="1" x14ac:dyDescent="0.25">
      <c r="AB65" s="12"/>
      <c r="AJ65" s="13"/>
    </row>
    <row r="66" spans="1:36" hidden="1" outlineLevel="1" x14ac:dyDescent="0.25">
      <c r="AB66" s="12"/>
      <c r="AJ66" s="13"/>
    </row>
    <row r="67" spans="1:36" hidden="1" outlineLevel="1" x14ac:dyDescent="0.25">
      <c r="AB67" s="12"/>
      <c r="AJ67" s="13"/>
    </row>
    <row r="68" spans="1:36" hidden="1" outlineLevel="1" x14ac:dyDescent="0.25">
      <c r="AB68" s="12"/>
      <c r="AJ68" s="13"/>
    </row>
    <row r="69" spans="1:36" hidden="1" outlineLevel="1" x14ac:dyDescent="0.25">
      <c r="AB69" s="12"/>
      <c r="AJ69" s="13"/>
    </row>
    <row r="70" spans="1:36" hidden="1" outlineLevel="1" x14ac:dyDescent="0.25">
      <c r="AB70" s="12"/>
      <c r="AJ70" s="13"/>
    </row>
    <row r="71" spans="1:36" hidden="1" outlineLevel="1" x14ac:dyDescent="0.25">
      <c r="AB71" s="12"/>
      <c r="AJ71" s="13"/>
    </row>
    <row r="72" spans="1:36" hidden="1" outlineLevel="1" x14ac:dyDescent="0.25">
      <c r="AB72" s="12"/>
      <c r="AJ72" s="13"/>
    </row>
    <row r="73" spans="1:36" hidden="1" outlineLevel="1" x14ac:dyDescent="0.25">
      <c r="AB73" s="12"/>
      <c r="AJ73" s="13"/>
    </row>
    <row r="74" spans="1:36" ht="15.75" hidden="1" outlineLevel="1" thickBot="1" x14ac:dyDescent="0.3">
      <c r="AB74" s="35"/>
      <c r="AC74" s="36"/>
      <c r="AD74" s="36"/>
      <c r="AE74" s="36"/>
      <c r="AF74" s="36"/>
      <c r="AG74" s="36"/>
      <c r="AH74" s="36"/>
      <c r="AI74" s="36"/>
      <c r="AJ74" s="37"/>
    </row>
    <row r="75" spans="1:36" ht="15.75" hidden="1" outlineLevel="1" thickTop="1" x14ac:dyDescent="0.25"/>
    <row r="76" spans="1:36" ht="15.75" collapsed="1" x14ac:dyDescent="0.25">
      <c r="A76" s="251" t="s">
        <v>337</v>
      </c>
    </row>
    <row r="77" spans="1:36" ht="25.5" hidden="1" outlineLevel="1" thickTop="1" thickBot="1" x14ac:dyDescent="0.45">
      <c r="B77" s="3" t="s">
        <v>338</v>
      </c>
      <c r="C77" s="4"/>
      <c r="D77" s="4"/>
      <c r="E77" s="4"/>
      <c r="F77" s="4"/>
      <c r="G77" s="4"/>
      <c r="H77" s="4"/>
      <c r="I77" s="4"/>
      <c r="J77" s="4"/>
      <c r="K77" s="4"/>
      <c r="L77" s="4"/>
      <c r="M77" s="4"/>
      <c r="N77" s="4"/>
      <c r="O77" s="4"/>
      <c r="Q77" s="5"/>
      <c r="R77" s="3" t="str">
        <f>CompanyName &amp;" Annual Income Statement"</f>
        <v>Sustainsphere Annual Income Statement</v>
      </c>
      <c r="S77" s="7"/>
      <c r="T77" s="7"/>
      <c r="U77" s="7"/>
      <c r="V77" s="7"/>
      <c r="W77" s="7"/>
      <c r="X77" s="7"/>
      <c r="Y77" s="8"/>
    </row>
    <row r="78" spans="1:36" ht="15.75" hidden="1" outlineLevel="1" thickTop="1" x14ac:dyDescent="0.25">
      <c r="B78" s="9" t="str">
        <f>"All Values in "&amp;SubHeader</f>
        <v>All Values in EUR</v>
      </c>
      <c r="D78" s="11"/>
      <c r="E78" s="11"/>
      <c r="Q78" s="12"/>
      <c r="Y78" s="13"/>
    </row>
    <row r="79" spans="1:36" ht="17.25" hidden="1" outlineLevel="1" x14ac:dyDescent="0.3">
      <c r="B79" t="s">
        <v>309</v>
      </c>
      <c r="C79" s="14" t="s">
        <v>310</v>
      </c>
      <c r="D79" s="15"/>
      <c r="E79" s="15"/>
      <c r="F79" s="15"/>
      <c r="G79" s="15"/>
      <c r="H79" s="15"/>
      <c r="I79" s="16"/>
      <c r="J79" s="16"/>
      <c r="K79" s="16"/>
      <c r="L79" s="16"/>
      <c r="M79" s="16"/>
      <c r="N79" s="16"/>
      <c r="O79" s="16"/>
      <c r="Q79" s="12"/>
      <c r="R79" s="80"/>
      <c r="Y79" s="13"/>
    </row>
    <row r="80" spans="1:36" ht="17.25" hidden="1" outlineLevel="1" x14ac:dyDescent="0.3">
      <c r="C80" s="14"/>
      <c r="D80" s="15"/>
      <c r="E80" s="15"/>
      <c r="F80" s="15"/>
      <c r="G80" s="15"/>
      <c r="H80" s="15"/>
      <c r="I80" s="16"/>
      <c r="J80" s="16"/>
      <c r="K80" s="16"/>
      <c r="L80" s="16"/>
      <c r="M80" s="16"/>
      <c r="N80" s="16"/>
      <c r="O80" s="16"/>
      <c r="Q80" s="12"/>
      <c r="R80" s="127" t="s">
        <v>48</v>
      </c>
      <c r="S80" s="81"/>
      <c r="T80" s="81"/>
      <c r="U80" s="81"/>
      <c r="V80" s="81"/>
      <c r="W80" s="81"/>
      <c r="X80" s="81"/>
      <c r="Y80" s="13"/>
    </row>
    <row r="81" spans="2:26" ht="19.5" hidden="1" outlineLevel="1" x14ac:dyDescent="0.3">
      <c r="B81" s="54" t="s">
        <v>338</v>
      </c>
      <c r="Q81" s="19"/>
      <c r="R81" s="81"/>
      <c r="S81" s="81"/>
      <c r="T81" s="81"/>
      <c r="U81" s="81"/>
      <c r="V81" s="81"/>
      <c r="W81" s="81"/>
      <c r="X81" s="81"/>
      <c r="Y81" s="20"/>
    </row>
    <row r="82" spans="2:26" hidden="1" outlineLevel="1" x14ac:dyDescent="0.25">
      <c r="B82" s="56"/>
      <c r="C82" s="500" t="s">
        <v>313</v>
      </c>
      <c r="D82" s="500"/>
      <c r="E82" s="500"/>
      <c r="F82" s="500"/>
      <c r="G82" s="500"/>
      <c r="H82" s="500"/>
      <c r="I82" s="500"/>
      <c r="J82" s="500"/>
      <c r="K82" s="172"/>
      <c r="L82" s="499" t="s">
        <v>314</v>
      </c>
      <c r="M82" s="499"/>
      <c r="N82" s="499"/>
      <c r="O82" s="499"/>
      <c r="Q82" s="12"/>
      <c r="R82" s="81"/>
      <c r="S82" s="499" t="s">
        <v>52</v>
      </c>
      <c r="T82" s="499"/>
      <c r="U82" s="499"/>
      <c r="V82" s="499"/>
      <c r="W82" s="499"/>
      <c r="X82" s="499"/>
      <c r="Y82" s="13"/>
    </row>
    <row r="83" spans="2:26" hidden="1" outlineLevel="1" x14ac:dyDescent="0.25">
      <c r="B83" s="56"/>
      <c r="C83" s="500" t="s">
        <v>42</v>
      </c>
      <c r="D83" s="500"/>
      <c r="E83" s="500"/>
      <c r="F83" s="500"/>
      <c r="G83" s="500" t="s">
        <v>43</v>
      </c>
      <c r="H83" s="500"/>
      <c r="I83" s="500"/>
      <c r="J83" s="500"/>
      <c r="K83" s="172"/>
      <c r="L83" s="62" t="s">
        <v>44</v>
      </c>
      <c r="M83" s="62" t="s">
        <v>45</v>
      </c>
      <c r="N83" s="62" t="s">
        <v>46</v>
      </c>
      <c r="O83" s="62" t="s">
        <v>47</v>
      </c>
      <c r="Q83" s="12"/>
      <c r="R83" s="81"/>
      <c r="S83" s="62" t="s">
        <v>42</v>
      </c>
      <c r="T83" s="62" t="s">
        <v>43</v>
      </c>
      <c r="U83" s="62" t="s">
        <v>44</v>
      </c>
      <c r="V83" s="62" t="s">
        <v>45</v>
      </c>
      <c r="W83" s="62" t="s">
        <v>46</v>
      </c>
      <c r="X83" s="62" t="s">
        <v>47</v>
      </c>
      <c r="Y83" s="13"/>
    </row>
    <row r="84" spans="2:26" hidden="1" outlineLevel="1" x14ac:dyDescent="0.25">
      <c r="B84" s="76"/>
      <c r="C84" s="77">
        <f>StartDate</f>
        <v>46023</v>
      </c>
      <c r="D84" s="77">
        <f>EDATE(C84,3)</f>
        <v>46113</v>
      </c>
      <c r="E84" s="77">
        <f t="shared" ref="E84:J84" si="25">EDATE(D84,3)</f>
        <v>46204</v>
      </c>
      <c r="F84" s="77">
        <f t="shared" si="25"/>
        <v>46296</v>
      </c>
      <c r="G84" s="77">
        <f t="shared" si="25"/>
        <v>46388</v>
      </c>
      <c r="H84" s="77">
        <f t="shared" si="25"/>
        <v>46478</v>
      </c>
      <c r="I84" s="77">
        <f t="shared" si="25"/>
        <v>46569</v>
      </c>
      <c r="J84" s="77">
        <f t="shared" si="25"/>
        <v>46661</v>
      </c>
      <c r="K84" s="172"/>
      <c r="L84" s="77">
        <f>EDATE(J84,3)</f>
        <v>46753</v>
      </c>
      <c r="M84" s="77">
        <f t="shared" ref="M84:O84" si="26">EDATE(L84,12)</f>
        <v>47119</v>
      </c>
      <c r="N84" s="77">
        <f t="shared" si="26"/>
        <v>47484</v>
      </c>
      <c r="O84" s="77">
        <f t="shared" si="26"/>
        <v>47849</v>
      </c>
      <c r="Q84" s="12"/>
      <c r="R84" s="81"/>
      <c r="S84" s="77">
        <f>C84</f>
        <v>46023</v>
      </c>
      <c r="T84" s="77">
        <f>G84</f>
        <v>46388</v>
      </c>
      <c r="U84" s="77">
        <f>L84</f>
        <v>46753</v>
      </c>
      <c r="V84" s="77">
        <f t="shared" ref="V84:X84" si="27">M84</f>
        <v>47119</v>
      </c>
      <c r="W84" s="77">
        <f t="shared" si="27"/>
        <v>47484</v>
      </c>
      <c r="X84" s="77">
        <f t="shared" si="27"/>
        <v>47849</v>
      </c>
      <c r="Y84" s="13"/>
    </row>
    <row r="85" spans="2:26" hidden="1" outlineLevel="1" x14ac:dyDescent="0.25">
      <c r="B85" s="81"/>
      <c r="C85" s="196"/>
      <c r="D85" s="197"/>
      <c r="E85" s="197"/>
      <c r="F85" s="197"/>
      <c r="G85" s="197"/>
      <c r="H85" s="197"/>
      <c r="I85" s="198"/>
      <c r="J85" s="198"/>
      <c r="K85" s="172"/>
      <c r="L85" s="198"/>
      <c r="M85" s="198"/>
      <c r="N85" s="198"/>
      <c r="O85" s="198"/>
      <c r="Q85" s="12"/>
      <c r="R85" s="59"/>
      <c r="S85" s="198"/>
      <c r="T85" s="198"/>
      <c r="U85" s="198"/>
      <c r="V85" s="198"/>
      <c r="W85" s="198"/>
      <c r="X85" s="198"/>
      <c r="Y85" s="13"/>
    </row>
    <row r="86" spans="2:26" hidden="1" outlineLevel="1" x14ac:dyDescent="0.25">
      <c r="B86" s="59" t="s">
        <v>21</v>
      </c>
      <c r="C86" s="200">
        <f>C15</f>
        <v>0</v>
      </c>
      <c r="D86" s="200">
        <f t="shared" ref="D86:J86" si="28">D15</f>
        <v>0</v>
      </c>
      <c r="E86" s="200">
        <f t="shared" si="28"/>
        <v>0</v>
      </c>
      <c r="F86" s="200">
        <f t="shared" si="28"/>
        <v>0</v>
      </c>
      <c r="G86" s="200">
        <f t="shared" si="28"/>
        <v>43701.215999999993</v>
      </c>
      <c r="H86" s="200">
        <f t="shared" si="28"/>
        <v>50589.620172000003</v>
      </c>
      <c r="I86" s="200">
        <f t="shared" si="28"/>
        <v>58563.809051611519</v>
      </c>
      <c r="J86" s="200">
        <f t="shared" si="28"/>
        <v>67794.929453371791</v>
      </c>
      <c r="K86" s="172"/>
      <c r="L86" s="200">
        <f>L15</f>
        <v>581722.15225878195</v>
      </c>
      <c r="M86" s="200">
        <f t="shared" ref="M86:O86" si="29">M15</f>
        <v>1044689.4071211424</v>
      </c>
      <c r="N86" s="200">
        <f t="shared" si="29"/>
        <v>1876112.0805068123</v>
      </c>
      <c r="O86" s="200">
        <f t="shared" si="29"/>
        <v>3369227.748104698</v>
      </c>
      <c r="Q86" s="12"/>
      <c r="R86" s="59" t="str">
        <f>B86</f>
        <v>Revenues</v>
      </c>
      <c r="S86" s="200">
        <f>SUM(C86:F86)</f>
        <v>0</v>
      </c>
      <c r="T86" s="200">
        <f>SUM(G86:J86)</f>
        <v>220649.57467698329</v>
      </c>
      <c r="U86" s="200">
        <f>L86</f>
        <v>581722.15225878195</v>
      </c>
      <c r="V86" s="200">
        <f t="shared" ref="V86:X101" si="30">M86</f>
        <v>1044689.4071211424</v>
      </c>
      <c r="W86" s="200">
        <f t="shared" si="30"/>
        <v>1876112.0805068123</v>
      </c>
      <c r="X86" s="200">
        <f t="shared" si="30"/>
        <v>3369227.748104698</v>
      </c>
      <c r="Y86" s="13"/>
    </row>
    <row r="87" spans="2:26" ht="15.75" hidden="1" outlineLevel="1" thickBot="1" x14ac:dyDescent="0.3">
      <c r="B87" s="111" t="s">
        <v>318</v>
      </c>
      <c r="C87" s="202">
        <f>C16</f>
        <v>0</v>
      </c>
      <c r="D87" s="202">
        <f t="shared" ref="D87:J87" si="31">D16</f>
        <v>0</v>
      </c>
      <c r="E87" s="202">
        <f t="shared" si="31"/>
        <v>0</v>
      </c>
      <c r="F87" s="202">
        <f t="shared" si="31"/>
        <v>0</v>
      </c>
      <c r="G87" s="202">
        <f t="shared" si="31"/>
        <v>-2021.2962431999999</v>
      </c>
      <c r="H87" s="202">
        <f t="shared" si="31"/>
        <v>-2339.9030635344002</v>
      </c>
      <c r="I87" s="202">
        <f t="shared" si="31"/>
        <v>-2708.7302839240115</v>
      </c>
      <c r="J87" s="202">
        <f t="shared" si="31"/>
        <v>-3135.6938949275336</v>
      </c>
      <c r="K87" s="176"/>
      <c r="L87" s="202">
        <f>L16</f>
        <v>-23670.021258815006</v>
      </c>
      <c r="M87" s="202">
        <f t="shared" ref="M87:O87" si="32">M16</f>
        <v>-44208.275711310096</v>
      </c>
      <c r="N87" s="202">
        <f t="shared" si="32"/>
        <v>-82567.380062634184</v>
      </c>
      <c r="O87" s="202">
        <f t="shared" si="32"/>
        <v>-154210.31788089732</v>
      </c>
      <c r="Q87" s="12"/>
      <c r="R87" s="111" t="str">
        <f t="shared" ref="R87:R101" si="33">B87</f>
        <v>COGS</v>
      </c>
      <c r="S87" s="202">
        <f t="shared" ref="S87:S101" si="34">SUM(C87:F87)</f>
        <v>0</v>
      </c>
      <c r="T87" s="202">
        <f t="shared" ref="T87:T101" si="35">SUM(G87:J87)</f>
        <v>-10205.623485585946</v>
      </c>
      <c r="U87" s="202">
        <f t="shared" ref="U87:U101" si="36">L87</f>
        <v>-23670.021258815006</v>
      </c>
      <c r="V87" s="202">
        <f t="shared" si="30"/>
        <v>-44208.275711310096</v>
      </c>
      <c r="W87" s="202">
        <f t="shared" si="30"/>
        <v>-82567.380062634184</v>
      </c>
      <c r="X87" s="202">
        <f t="shared" si="30"/>
        <v>-154210.31788089732</v>
      </c>
      <c r="Y87" s="13"/>
    </row>
    <row r="88" spans="2:26" hidden="1" outlineLevel="1" x14ac:dyDescent="0.25">
      <c r="B88" s="214" t="s">
        <v>339</v>
      </c>
      <c r="C88" s="215">
        <f>SUM(C86:C87)</f>
        <v>0</v>
      </c>
      <c r="D88" s="215">
        <f t="shared" ref="D88:O88" si="37">SUM(D86:D87)</f>
        <v>0</v>
      </c>
      <c r="E88" s="215">
        <f t="shared" si="37"/>
        <v>0</v>
      </c>
      <c r="F88" s="215">
        <f t="shared" si="37"/>
        <v>0</v>
      </c>
      <c r="G88" s="215">
        <f t="shared" si="37"/>
        <v>41679.919756799995</v>
      </c>
      <c r="H88" s="215">
        <f t="shared" si="37"/>
        <v>48249.7171084656</v>
      </c>
      <c r="I88" s="215">
        <f t="shared" si="37"/>
        <v>55855.078767687504</v>
      </c>
      <c r="J88" s="215">
        <f t="shared" si="37"/>
        <v>64659.235558444256</v>
      </c>
      <c r="K88" s="216"/>
      <c r="L88" s="215">
        <f t="shared" si="37"/>
        <v>558052.13099996699</v>
      </c>
      <c r="M88" s="215">
        <f t="shared" si="37"/>
        <v>1000481.1314098323</v>
      </c>
      <c r="N88" s="215">
        <f t="shared" si="37"/>
        <v>1793544.7004441782</v>
      </c>
      <c r="O88" s="217">
        <f t="shared" si="37"/>
        <v>3215017.4302238007</v>
      </c>
      <c r="P88" s="106"/>
      <c r="Q88" s="12"/>
      <c r="R88" s="223" t="str">
        <f t="shared" si="33"/>
        <v>Gross Profit</v>
      </c>
      <c r="S88" s="215">
        <f t="shared" si="34"/>
        <v>0</v>
      </c>
      <c r="T88" s="215">
        <f t="shared" si="35"/>
        <v>210443.95119139735</v>
      </c>
      <c r="U88" s="215">
        <f t="shared" si="36"/>
        <v>558052.13099996699</v>
      </c>
      <c r="V88" s="215">
        <f t="shared" si="30"/>
        <v>1000481.1314098323</v>
      </c>
      <c r="W88" s="215">
        <f t="shared" si="30"/>
        <v>1793544.7004441782</v>
      </c>
      <c r="X88" s="217">
        <f t="shared" si="30"/>
        <v>3215017.4302238007</v>
      </c>
      <c r="Y88" s="13"/>
      <c r="Z88" s="106"/>
    </row>
    <row r="89" spans="2:26" ht="15.75" hidden="1" outlineLevel="1" thickBot="1" x14ac:dyDescent="0.3">
      <c r="B89" s="218" t="s">
        <v>340</v>
      </c>
      <c r="C89" s="219">
        <f>IF(C88&gt;0,C88/C86,0)</f>
        <v>0</v>
      </c>
      <c r="D89" s="219">
        <f t="shared" ref="D89:O89" si="38">IF(D88&gt;0,D88/D86,0)</f>
        <v>0</v>
      </c>
      <c r="E89" s="219">
        <f t="shared" si="38"/>
        <v>0</v>
      </c>
      <c r="F89" s="219">
        <f t="shared" si="38"/>
        <v>0</v>
      </c>
      <c r="G89" s="219">
        <f t="shared" si="38"/>
        <v>0.95374736842105268</v>
      </c>
      <c r="H89" s="219">
        <f t="shared" si="38"/>
        <v>0.95374736842105257</v>
      </c>
      <c r="I89" s="219">
        <f t="shared" si="38"/>
        <v>0.95374736842105257</v>
      </c>
      <c r="J89" s="219">
        <f t="shared" si="38"/>
        <v>0.95374736842105257</v>
      </c>
      <c r="K89" s="220"/>
      <c r="L89" s="219">
        <f t="shared" si="38"/>
        <v>0.9593104351159637</v>
      </c>
      <c r="M89" s="219">
        <f t="shared" si="38"/>
        <v>0.95768285252060215</v>
      </c>
      <c r="N89" s="219">
        <f t="shared" si="38"/>
        <v>0.95599016662142622</v>
      </c>
      <c r="O89" s="221">
        <f t="shared" si="38"/>
        <v>0.95422977328628322</v>
      </c>
      <c r="P89" s="106"/>
      <c r="Q89" s="12"/>
      <c r="R89" s="224" t="str">
        <f t="shared" si="33"/>
        <v>Gross Margin</v>
      </c>
      <c r="S89" s="219">
        <f t="shared" ref="S89:T89" si="39">IF(S88&gt;0,S88/S86,0)</f>
        <v>0</v>
      </c>
      <c r="T89" s="219">
        <f t="shared" si="39"/>
        <v>0.95374736842105268</v>
      </c>
      <c r="U89" s="219">
        <f t="shared" si="36"/>
        <v>0.9593104351159637</v>
      </c>
      <c r="V89" s="219">
        <f t="shared" si="30"/>
        <v>0.95768285252060215</v>
      </c>
      <c r="W89" s="219">
        <f t="shared" si="30"/>
        <v>0.95599016662142622</v>
      </c>
      <c r="X89" s="221">
        <f t="shared" si="30"/>
        <v>0.95422977328628322</v>
      </c>
      <c r="Y89" s="13"/>
      <c r="Z89" s="106"/>
    </row>
    <row r="90" spans="2:26" hidden="1" outlineLevel="1" x14ac:dyDescent="0.25">
      <c r="B90" s="25"/>
      <c r="C90" s="25"/>
      <c r="D90" s="25"/>
      <c r="E90" s="25"/>
      <c r="F90" s="25"/>
      <c r="G90" s="25"/>
      <c r="H90" s="25"/>
      <c r="I90" s="25"/>
      <c r="J90" s="25"/>
      <c r="K90" s="213"/>
      <c r="L90" s="25"/>
      <c r="M90" s="25"/>
      <c r="N90" s="25"/>
      <c r="O90" s="25"/>
      <c r="Q90" s="12"/>
      <c r="R90" s="25"/>
      <c r="S90" s="25"/>
      <c r="T90" s="25"/>
      <c r="U90" s="25"/>
      <c r="V90" s="25"/>
      <c r="W90" s="25"/>
      <c r="X90" s="25"/>
      <c r="Y90" s="13"/>
    </row>
    <row r="91" spans="2:26" ht="15.75" hidden="1" outlineLevel="1" thickBot="1" x14ac:dyDescent="0.3">
      <c r="B91" s="111" t="s">
        <v>341</v>
      </c>
      <c r="C91" s="202">
        <f>C17</f>
        <v>-12750</v>
      </c>
      <c r="D91" s="202">
        <f t="shared" ref="D91:J91" si="40">D17</f>
        <v>-12750</v>
      </c>
      <c r="E91" s="202">
        <f t="shared" si="40"/>
        <v>-28062.5</v>
      </c>
      <c r="F91" s="202">
        <f t="shared" si="40"/>
        <v>-28062.5</v>
      </c>
      <c r="G91" s="202">
        <f t="shared" si="40"/>
        <v>-57442.5</v>
      </c>
      <c r="H91" s="202">
        <f t="shared" si="40"/>
        <v>-75255</v>
      </c>
      <c r="I91" s="202">
        <f t="shared" si="40"/>
        <v>-88117.5</v>
      </c>
      <c r="J91" s="202">
        <f t="shared" si="40"/>
        <v>-116292.5</v>
      </c>
      <c r="K91" s="176"/>
      <c r="L91" s="202">
        <f>L17</f>
        <v>-664314.80000000005</v>
      </c>
      <c r="M91" s="202">
        <f t="shared" ref="M91:O91" si="41">M17</f>
        <v>-670365.48</v>
      </c>
      <c r="N91" s="202">
        <f t="shared" si="41"/>
        <v>-738415.82031999994</v>
      </c>
      <c r="O91" s="202">
        <f t="shared" si="41"/>
        <v>-746074.41485120007</v>
      </c>
      <c r="Q91" s="12"/>
      <c r="R91" s="82" t="str">
        <f t="shared" si="33"/>
        <v>Operting Expenses</v>
      </c>
      <c r="S91" s="202">
        <f t="shared" si="34"/>
        <v>-81625</v>
      </c>
      <c r="T91" s="202">
        <f t="shared" si="35"/>
        <v>-337107.5</v>
      </c>
      <c r="U91" s="202">
        <f>L91</f>
        <v>-664314.80000000005</v>
      </c>
      <c r="V91" s="202">
        <f t="shared" si="30"/>
        <v>-670365.48</v>
      </c>
      <c r="W91" s="202">
        <f t="shared" si="30"/>
        <v>-738415.82031999994</v>
      </c>
      <c r="X91" s="202">
        <f t="shared" si="30"/>
        <v>-746074.41485120007</v>
      </c>
      <c r="Y91" s="13"/>
    </row>
    <row r="92" spans="2:26" ht="15.75" hidden="1" outlineLevel="1" thickBot="1" x14ac:dyDescent="0.3">
      <c r="B92" s="98" t="s">
        <v>342</v>
      </c>
      <c r="C92" s="114">
        <f>SUM(C88,C91)</f>
        <v>-12750</v>
      </c>
      <c r="D92" s="114">
        <f>SUM(D88,D91)</f>
        <v>-12750</v>
      </c>
      <c r="E92" s="114">
        <f t="shared" ref="E92:I92" si="42">SUM(E88,E91)</f>
        <v>-28062.5</v>
      </c>
      <c r="F92" s="114">
        <f t="shared" si="42"/>
        <v>-28062.5</v>
      </c>
      <c r="G92" s="114">
        <f t="shared" si="42"/>
        <v>-15762.580243200005</v>
      </c>
      <c r="H92" s="114">
        <f t="shared" si="42"/>
        <v>-27005.2828915344</v>
      </c>
      <c r="I92" s="114">
        <f t="shared" si="42"/>
        <v>-32262.421232312496</v>
      </c>
      <c r="J92" s="114">
        <f>SUM(J88,J91)</f>
        <v>-51633.264441555744</v>
      </c>
      <c r="K92" s="177"/>
      <c r="L92" s="114">
        <f>SUM(L88,L91)</f>
        <v>-106262.66900003306</v>
      </c>
      <c r="M92" s="114">
        <f>SUM(M88,M91)</f>
        <v>330115.6514098323</v>
      </c>
      <c r="N92" s="114">
        <f>SUM(N88,N91)</f>
        <v>1055128.8801241782</v>
      </c>
      <c r="O92" s="115">
        <f>SUM(O88,O91)</f>
        <v>2468943.0153726004</v>
      </c>
      <c r="P92" s="106"/>
      <c r="Q92" s="12"/>
      <c r="R92" s="102" t="str">
        <f t="shared" si="33"/>
        <v>EBITDA</v>
      </c>
      <c r="S92" s="114">
        <f t="shared" si="34"/>
        <v>-81625</v>
      </c>
      <c r="T92" s="114">
        <f t="shared" si="35"/>
        <v>-126663.54880860265</v>
      </c>
      <c r="U92" s="114">
        <f t="shared" si="36"/>
        <v>-106262.66900003306</v>
      </c>
      <c r="V92" s="114">
        <f t="shared" si="30"/>
        <v>330115.6514098323</v>
      </c>
      <c r="W92" s="114">
        <f t="shared" si="30"/>
        <v>1055128.8801241782</v>
      </c>
      <c r="X92" s="115">
        <f t="shared" si="30"/>
        <v>2468943.0153726004</v>
      </c>
      <c r="Y92" s="13"/>
      <c r="Z92" s="106"/>
    </row>
    <row r="93" spans="2:26" hidden="1" outlineLevel="1" x14ac:dyDescent="0.25">
      <c r="B93" s="211"/>
      <c r="C93" s="212"/>
      <c r="D93" s="212"/>
      <c r="E93" s="212"/>
      <c r="F93" s="212"/>
      <c r="G93" s="212"/>
      <c r="H93" s="212"/>
      <c r="I93" s="212"/>
      <c r="J93" s="212"/>
      <c r="K93" s="213"/>
      <c r="L93" s="212"/>
      <c r="M93" s="212"/>
      <c r="N93" s="212"/>
      <c r="O93" s="212"/>
      <c r="P93" s="106"/>
      <c r="Q93" s="12"/>
      <c r="R93" s="25"/>
      <c r="S93" s="212"/>
      <c r="T93" s="212"/>
      <c r="U93" s="212"/>
      <c r="V93" s="212"/>
      <c r="W93" s="212"/>
      <c r="X93" s="212"/>
      <c r="Y93" s="13"/>
      <c r="Z93" s="106"/>
    </row>
    <row r="94" spans="2:26" ht="15.75" hidden="1" outlineLevel="1" thickBot="1" x14ac:dyDescent="0.3">
      <c r="B94" s="111" t="s">
        <v>343</v>
      </c>
      <c r="C94" s="202">
        <f>Operations!D412*-1</f>
        <v>0</v>
      </c>
      <c r="D94" s="202">
        <f>Operations!E412*-1</f>
        <v>0</v>
      </c>
      <c r="E94" s="202">
        <f>Operations!F412*-1</f>
        <v>0</v>
      </c>
      <c r="F94" s="202">
        <f>Operations!G412*-1</f>
        <v>0</v>
      </c>
      <c r="G94" s="202">
        <f>Operations!H412*-1</f>
        <v>-1450</v>
      </c>
      <c r="H94" s="202">
        <f>Operations!I412*-1</f>
        <v>-1450</v>
      </c>
      <c r="I94" s="202">
        <f>Operations!J412*-1</f>
        <v>-1450</v>
      </c>
      <c r="J94" s="202">
        <f>Operations!K412*-1</f>
        <v>-1450</v>
      </c>
      <c r="K94" s="176"/>
      <c r="L94" s="202">
        <f>Operations!M412*-1</f>
        <v>-5800</v>
      </c>
      <c r="M94" s="202">
        <f>Operations!N412*-1</f>
        <v>-5800</v>
      </c>
      <c r="N94" s="202">
        <f>Operations!O412*-1</f>
        <v>-5800</v>
      </c>
      <c r="O94" s="202">
        <f>Operations!P412*-1</f>
        <v>-5800</v>
      </c>
      <c r="Q94" s="12"/>
      <c r="R94" s="82" t="str">
        <f t="shared" si="33"/>
        <v>Depreciation/Amortisation</v>
      </c>
      <c r="S94" s="202">
        <f t="shared" si="34"/>
        <v>0</v>
      </c>
      <c r="T94" s="202">
        <f t="shared" si="35"/>
        <v>-5800</v>
      </c>
      <c r="U94" s="202">
        <f t="shared" si="36"/>
        <v>-5800</v>
      </c>
      <c r="V94" s="202">
        <f t="shared" si="30"/>
        <v>-5800</v>
      </c>
      <c r="W94" s="202">
        <f t="shared" si="30"/>
        <v>-5800</v>
      </c>
      <c r="X94" s="202">
        <f t="shared" si="30"/>
        <v>-5800</v>
      </c>
      <c r="Y94" s="13"/>
    </row>
    <row r="95" spans="2:26" ht="15.75" hidden="1" outlineLevel="1" thickBot="1" x14ac:dyDescent="0.3">
      <c r="B95" s="98" t="s">
        <v>344</v>
      </c>
      <c r="C95" s="114">
        <f>SUM(C92,C94)</f>
        <v>-12750</v>
      </c>
      <c r="D95" s="114">
        <f t="shared" ref="D95:O95" si="43">SUM(D92,D94)</f>
        <v>-12750</v>
      </c>
      <c r="E95" s="114">
        <f t="shared" si="43"/>
        <v>-28062.5</v>
      </c>
      <c r="F95" s="114">
        <f t="shared" si="43"/>
        <v>-28062.5</v>
      </c>
      <c r="G95" s="114">
        <f t="shared" si="43"/>
        <v>-17212.580243200005</v>
      </c>
      <c r="H95" s="114">
        <f t="shared" si="43"/>
        <v>-28455.2828915344</v>
      </c>
      <c r="I95" s="114">
        <f t="shared" si="43"/>
        <v>-33712.421232312496</v>
      </c>
      <c r="J95" s="114">
        <f t="shared" si="43"/>
        <v>-53083.264441555744</v>
      </c>
      <c r="K95" s="177"/>
      <c r="L95" s="114">
        <f t="shared" si="43"/>
        <v>-112062.66900003306</v>
      </c>
      <c r="M95" s="114">
        <f t="shared" si="43"/>
        <v>324315.6514098323</v>
      </c>
      <c r="N95" s="114">
        <f t="shared" si="43"/>
        <v>1049328.8801241782</v>
      </c>
      <c r="O95" s="115">
        <f t="shared" si="43"/>
        <v>2463143.0153726004</v>
      </c>
      <c r="Q95" s="12"/>
      <c r="R95" s="102" t="str">
        <f t="shared" si="33"/>
        <v>Operating Profit (EBIT)</v>
      </c>
      <c r="S95" s="114">
        <f t="shared" si="34"/>
        <v>-81625</v>
      </c>
      <c r="T95" s="114">
        <f t="shared" si="35"/>
        <v>-132463.54880860265</v>
      </c>
      <c r="U95" s="114">
        <f t="shared" si="36"/>
        <v>-112062.66900003306</v>
      </c>
      <c r="V95" s="114">
        <f t="shared" si="30"/>
        <v>324315.6514098323</v>
      </c>
      <c r="W95" s="114">
        <f t="shared" si="30"/>
        <v>1049328.8801241782</v>
      </c>
      <c r="X95" s="115">
        <f t="shared" si="30"/>
        <v>2463143.0153726004</v>
      </c>
      <c r="Y95" s="13"/>
    </row>
    <row r="96" spans="2:26" hidden="1" outlineLevel="1" x14ac:dyDescent="0.25">
      <c r="B96" s="25"/>
      <c r="C96" s="25"/>
      <c r="D96" s="25"/>
      <c r="E96" s="25"/>
      <c r="F96" s="25"/>
      <c r="G96" s="25"/>
      <c r="H96" s="25"/>
      <c r="I96" s="25"/>
      <c r="J96" s="25"/>
      <c r="K96" s="213"/>
      <c r="L96" s="25"/>
      <c r="M96" s="25"/>
      <c r="N96" s="25"/>
      <c r="O96" s="25"/>
      <c r="Q96" s="12"/>
      <c r="R96" s="25"/>
      <c r="S96" s="25"/>
      <c r="T96" s="25"/>
      <c r="U96" s="25"/>
      <c r="V96" s="25"/>
      <c r="W96" s="25"/>
      <c r="X96" s="25"/>
      <c r="Y96" s="13"/>
    </row>
    <row r="97" spans="1:26" ht="15.75" hidden="1" outlineLevel="1" thickBot="1" x14ac:dyDescent="0.3">
      <c r="B97" s="111" t="s">
        <v>345</v>
      </c>
      <c r="C97" s="202">
        <f>C33</f>
        <v>0</v>
      </c>
      <c r="D97" s="202">
        <f t="shared" ref="D97:I97" si="44">D33</f>
        <v>0</v>
      </c>
      <c r="E97" s="202">
        <f t="shared" si="44"/>
        <v>0</v>
      </c>
      <c r="F97" s="202">
        <f t="shared" si="44"/>
        <v>0</v>
      </c>
      <c r="G97" s="202">
        <f t="shared" si="44"/>
        <v>0</v>
      </c>
      <c r="H97" s="202">
        <f t="shared" si="44"/>
        <v>0</v>
      </c>
      <c r="I97" s="202">
        <f t="shared" si="44"/>
        <v>0</v>
      </c>
      <c r="J97" s="202">
        <f>J33</f>
        <v>0</v>
      </c>
      <c r="K97" s="176"/>
      <c r="L97" s="202">
        <f>L33</f>
        <v>0</v>
      </c>
      <c r="M97" s="202">
        <f t="shared" ref="M97:O97" si="45">M33</f>
        <v>0</v>
      </c>
      <c r="N97" s="202">
        <f t="shared" si="45"/>
        <v>0</v>
      </c>
      <c r="O97" s="202">
        <f t="shared" si="45"/>
        <v>0</v>
      </c>
      <c r="Q97" s="12"/>
      <c r="R97" s="82" t="str">
        <f t="shared" si="33"/>
        <v>Financing Expenses</v>
      </c>
      <c r="S97" s="202">
        <f t="shared" si="34"/>
        <v>0</v>
      </c>
      <c r="T97" s="202">
        <f t="shared" si="35"/>
        <v>0</v>
      </c>
      <c r="U97" s="202">
        <f t="shared" si="36"/>
        <v>0</v>
      </c>
      <c r="V97" s="202">
        <f t="shared" si="30"/>
        <v>0</v>
      </c>
      <c r="W97" s="202">
        <f t="shared" si="30"/>
        <v>0</v>
      </c>
      <c r="X97" s="202">
        <f t="shared" si="30"/>
        <v>0</v>
      </c>
      <c r="Y97" s="13"/>
    </row>
    <row r="98" spans="1:26" ht="15.75" hidden="1" outlineLevel="1" thickBot="1" x14ac:dyDescent="0.3">
      <c r="B98" s="98" t="s">
        <v>346</v>
      </c>
      <c r="C98" s="114">
        <f>SUM(C95,C97)</f>
        <v>-12750</v>
      </c>
      <c r="D98" s="114">
        <f t="shared" ref="D98:J98" si="46">SUM(D95,D97)</f>
        <v>-12750</v>
      </c>
      <c r="E98" s="114">
        <f t="shared" si="46"/>
        <v>-28062.5</v>
      </c>
      <c r="F98" s="114">
        <f t="shared" si="46"/>
        <v>-28062.5</v>
      </c>
      <c r="G98" s="114">
        <f t="shared" si="46"/>
        <v>-17212.580243200005</v>
      </c>
      <c r="H98" s="114">
        <f t="shared" si="46"/>
        <v>-28455.2828915344</v>
      </c>
      <c r="I98" s="114">
        <f t="shared" si="46"/>
        <v>-33712.421232312496</v>
      </c>
      <c r="J98" s="114">
        <f t="shared" si="46"/>
        <v>-53083.264441555744</v>
      </c>
      <c r="K98" s="177"/>
      <c r="L98" s="114">
        <f t="shared" ref="L98:O98" si="47">SUM(L95,L97)</f>
        <v>-112062.66900003306</v>
      </c>
      <c r="M98" s="114">
        <f t="shared" si="47"/>
        <v>324315.6514098323</v>
      </c>
      <c r="N98" s="114">
        <f t="shared" si="47"/>
        <v>1049328.8801241782</v>
      </c>
      <c r="O98" s="115">
        <f t="shared" si="47"/>
        <v>2463143.0153726004</v>
      </c>
      <c r="P98" s="106"/>
      <c r="Q98" s="12"/>
      <c r="R98" s="102" t="str">
        <f t="shared" si="33"/>
        <v>Profit before Tax</v>
      </c>
      <c r="S98" s="114">
        <f t="shared" si="34"/>
        <v>-81625</v>
      </c>
      <c r="T98" s="114">
        <f t="shared" si="35"/>
        <v>-132463.54880860265</v>
      </c>
      <c r="U98" s="114">
        <f t="shared" si="36"/>
        <v>-112062.66900003306</v>
      </c>
      <c r="V98" s="114">
        <f t="shared" si="30"/>
        <v>324315.6514098323</v>
      </c>
      <c r="W98" s="114">
        <f t="shared" si="30"/>
        <v>1049328.8801241782</v>
      </c>
      <c r="X98" s="115">
        <f t="shared" si="30"/>
        <v>2463143.0153726004</v>
      </c>
      <c r="Y98" s="13"/>
      <c r="Z98" s="106"/>
    </row>
    <row r="99" spans="1:26" hidden="1" outlineLevel="1" x14ac:dyDescent="0.25">
      <c r="B99" s="211"/>
      <c r="C99" s="212"/>
      <c r="D99" s="212"/>
      <c r="E99" s="212"/>
      <c r="F99" s="212"/>
      <c r="G99" s="212"/>
      <c r="H99" s="212"/>
      <c r="I99" s="212"/>
      <c r="J99" s="212"/>
      <c r="K99" s="213"/>
      <c r="L99" s="212"/>
      <c r="M99" s="212"/>
      <c r="N99" s="212"/>
      <c r="O99" s="212"/>
      <c r="P99" s="106"/>
      <c r="Q99" s="12"/>
      <c r="R99" s="25"/>
      <c r="S99" s="212"/>
      <c r="T99" s="212"/>
      <c r="U99" s="212"/>
      <c r="V99" s="212"/>
      <c r="W99" s="212"/>
      <c r="X99" s="212"/>
      <c r="Y99" s="13"/>
      <c r="Z99" s="106"/>
    </row>
    <row r="100" spans="1:26" ht="15.75" hidden="1" outlineLevel="1" thickBot="1" x14ac:dyDescent="0.3">
      <c r="B100" s="111" t="s">
        <v>320</v>
      </c>
      <c r="C100" s="202">
        <f>IF(C98/4&gt;Operations!$D$352,C98*Operations!$D$351*-1,0)</f>
        <v>0</v>
      </c>
      <c r="D100" s="202">
        <f>IF(D98/4&gt;Operations!$D$352,D98*Operations!$D$351*-1,0)</f>
        <v>0</v>
      </c>
      <c r="E100" s="202">
        <f>IF(E98/4&gt;Operations!$D$352,E98*Operations!$D$351*-1,0)</f>
        <v>0</v>
      </c>
      <c r="F100" s="202">
        <f>IF(F98/4&gt;Operations!$D$352,F98*Operations!$D$351*-1,0)</f>
        <v>0</v>
      </c>
      <c r="G100" s="202">
        <f>IF(G98/4&gt;Operations!$D$352,G98*Operations!$D$351*-1,0)</f>
        <v>0</v>
      </c>
      <c r="H100" s="202">
        <f>IF(H98/4&gt;Operations!$D$352,H98*Operations!$D$351*-1,0)</f>
        <v>0</v>
      </c>
      <c r="I100" s="202">
        <f>IF(I98/4&gt;Operations!$D$352,I98*Operations!$D$351*-1,0)</f>
        <v>0</v>
      </c>
      <c r="J100" s="202">
        <f>IF(J98/4&gt;Operations!$D$352,J98*Operations!$D$351*-1,0)</f>
        <v>0</v>
      </c>
      <c r="K100" s="176"/>
      <c r="L100" s="202">
        <f>IF(L98&gt;Operations!$D$352,L98*Operations!$D$351*-1,0)</f>
        <v>0</v>
      </c>
      <c r="M100" s="202">
        <f>IF(M98&gt;Operations!$D$352,M98*Operations!$D$351*-1,0)</f>
        <v>-48647.347711474846</v>
      </c>
      <c r="N100" s="202">
        <f>IF(N98&gt;Operations!$D$352,N98*Operations!$D$351*-1,0)</f>
        <v>-157399.33201862674</v>
      </c>
      <c r="O100" s="202">
        <f>IF(O98&gt;Operations!$D$352,O98*Operations!$D$351*-1,0)</f>
        <v>-369471.45230589004</v>
      </c>
      <c r="P100" s="106"/>
      <c r="Q100" s="12"/>
      <c r="R100" s="82" t="str">
        <f t="shared" si="33"/>
        <v>Taxes</v>
      </c>
      <c r="S100" s="202">
        <f t="shared" si="34"/>
        <v>0</v>
      </c>
      <c r="T100" s="202">
        <f t="shared" si="35"/>
        <v>0</v>
      </c>
      <c r="U100" s="202">
        <f t="shared" si="36"/>
        <v>0</v>
      </c>
      <c r="V100" s="202">
        <f t="shared" si="30"/>
        <v>-48647.347711474846</v>
      </c>
      <c r="W100" s="202">
        <f t="shared" si="30"/>
        <v>-157399.33201862674</v>
      </c>
      <c r="X100" s="202">
        <f t="shared" si="30"/>
        <v>-369471.45230589004</v>
      </c>
      <c r="Y100" s="13"/>
      <c r="Z100" s="106"/>
    </row>
    <row r="101" spans="1:26" ht="15.75" hidden="1" outlineLevel="1" thickBot="1" x14ac:dyDescent="0.3">
      <c r="B101" s="232" t="s">
        <v>347</v>
      </c>
      <c r="C101" s="114">
        <f>SUM(C98,C100)</f>
        <v>-12750</v>
      </c>
      <c r="D101" s="114">
        <f t="shared" ref="D101" si="48">SUM(D98,D100)</f>
        <v>-12750</v>
      </c>
      <c r="E101" s="114">
        <f>SUM(E98,E100)</f>
        <v>-28062.5</v>
      </c>
      <c r="F101" s="114">
        <f t="shared" ref="F101:J101" si="49">SUM(F98,F100)</f>
        <v>-28062.5</v>
      </c>
      <c r="G101" s="114">
        <f t="shared" si="49"/>
        <v>-17212.580243200005</v>
      </c>
      <c r="H101" s="114">
        <f t="shared" si="49"/>
        <v>-28455.2828915344</v>
      </c>
      <c r="I101" s="114">
        <f t="shared" si="49"/>
        <v>-33712.421232312496</v>
      </c>
      <c r="J101" s="114">
        <f t="shared" si="49"/>
        <v>-53083.264441555744</v>
      </c>
      <c r="K101" s="177"/>
      <c r="L101" s="114">
        <f t="shared" ref="L101:O101" si="50">SUM(L98,L100)</f>
        <v>-112062.66900003306</v>
      </c>
      <c r="M101" s="114">
        <f t="shared" si="50"/>
        <v>275668.30369835743</v>
      </c>
      <c r="N101" s="114">
        <f t="shared" si="50"/>
        <v>891929.54810555151</v>
      </c>
      <c r="O101" s="115">
        <f t="shared" si="50"/>
        <v>2093671.5630667103</v>
      </c>
      <c r="Q101" s="12"/>
      <c r="R101" s="102" t="str">
        <f t="shared" si="33"/>
        <v>Profit after Tax (Net Income)</v>
      </c>
      <c r="S101" s="114">
        <f t="shared" si="34"/>
        <v>-81625</v>
      </c>
      <c r="T101" s="114">
        <f t="shared" si="35"/>
        <v>-132463.54880860265</v>
      </c>
      <c r="U101" s="114">
        <f t="shared" si="36"/>
        <v>-112062.66900003306</v>
      </c>
      <c r="V101" s="114">
        <f t="shared" si="30"/>
        <v>275668.30369835743</v>
      </c>
      <c r="W101" s="114">
        <f t="shared" si="30"/>
        <v>891929.54810555151</v>
      </c>
      <c r="X101" s="115">
        <f t="shared" si="30"/>
        <v>2093671.5630667103</v>
      </c>
      <c r="Y101" s="13"/>
    </row>
    <row r="102" spans="1:26" ht="15.75" hidden="1" outlineLevel="1" thickBot="1" x14ac:dyDescent="0.3">
      <c r="Q102" s="35"/>
      <c r="R102" s="36"/>
      <c r="S102" s="36"/>
      <c r="T102" s="36"/>
      <c r="U102" s="36"/>
      <c r="V102" s="36"/>
      <c r="W102" s="36"/>
      <c r="X102" s="36"/>
      <c r="Y102" s="37"/>
    </row>
    <row r="103" spans="1:26" ht="15.75" collapsed="1" x14ac:dyDescent="0.25">
      <c r="A103" s="355" t="s">
        <v>348</v>
      </c>
    </row>
    <row r="104" spans="1:26" ht="25.5" hidden="1" outlineLevel="1" thickTop="1" thickBot="1" x14ac:dyDescent="0.45">
      <c r="B104" s="3" t="s">
        <v>349</v>
      </c>
      <c r="C104" s="4"/>
      <c r="D104" s="4"/>
      <c r="E104" s="4"/>
      <c r="F104" s="4"/>
      <c r="G104" s="4"/>
      <c r="H104" s="4"/>
      <c r="I104" s="4"/>
      <c r="J104" s="4"/>
      <c r="K104" s="4"/>
      <c r="L104" s="4"/>
      <c r="M104" s="4"/>
      <c r="N104" s="4"/>
      <c r="O104" s="4"/>
      <c r="Q104" s="5"/>
      <c r="R104" s="3" t="str">
        <f>CompanyName &amp;" Annual Balance Sheet"</f>
        <v>Sustainsphere Annual Balance Sheet</v>
      </c>
      <c r="S104" s="7"/>
      <c r="T104" s="7"/>
      <c r="U104" s="7"/>
      <c r="V104" s="7"/>
      <c r="W104" s="7"/>
      <c r="X104" s="7"/>
      <c r="Y104" s="8"/>
    </row>
    <row r="105" spans="1:26" ht="15.75" hidden="1" outlineLevel="1" thickTop="1" x14ac:dyDescent="0.25">
      <c r="B105" s="9" t="str">
        <f>"All Values in "&amp;SubHeader</f>
        <v>All Values in EUR</v>
      </c>
      <c r="D105" s="11"/>
      <c r="E105" s="11"/>
      <c r="Q105" s="12"/>
      <c r="Y105" s="13"/>
    </row>
    <row r="106" spans="1:26" ht="18" hidden="1" outlineLevel="1" thickBot="1" x14ac:dyDescent="0.35">
      <c r="C106" s="14"/>
      <c r="D106" s="15"/>
      <c r="E106" s="15"/>
      <c r="F106" s="15"/>
      <c r="G106" s="15"/>
      <c r="H106" s="15"/>
      <c r="I106" s="16"/>
      <c r="J106" s="16"/>
      <c r="K106" s="16"/>
      <c r="L106" s="16"/>
      <c r="M106" s="16"/>
      <c r="N106" s="16"/>
      <c r="O106" s="16"/>
      <c r="Q106" s="12"/>
      <c r="R106" s="17"/>
      <c r="Y106" s="13"/>
    </row>
    <row r="107" spans="1:26" ht="18.75" hidden="1" outlineLevel="1" thickTop="1" thickBot="1" x14ac:dyDescent="0.35">
      <c r="C107" s="14"/>
      <c r="D107" s="15"/>
      <c r="E107" s="15"/>
      <c r="F107" s="15"/>
      <c r="G107" s="15"/>
      <c r="H107" s="15"/>
      <c r="I107" s="16"/>
      <c r="J107" s="16"/>
      <c r="K107" s="16"/>
      <c r="L107" s="16"/>
      <c r="M107" s="16"/>
      <c r="N107" s="16"/>
      <c r="O107" s="16"/>
      <c r="Q107" s="12"/>
      <c r="R107" s="17" t="s">
        <v>48</v>
      </c>
      <c r="Y107" s="13"/>
    </row>
    <row r="108" spans="1:26" ht="20.25" hidden="1" outlineLevel="1" thickTop="1" x14ac:dyDescent="0.3">
      <c r="B108" s="54" t="s">
        <v>349</v>
      </c>
      <c r="Q108" s="19"/>
      <c r="Y108" s="20"/>
    </row>
    <row r="109" spans="1:26" hidden="1" outlineLevel="1" x14ac:dyDescent="0.25">
      <c r="B109" s="56"/>
      <c r="C109" s="500" t="s">
        <v>350</v>
      </c>
      <c r="D109" s="500"/>
      <c r="E109" s="500"/>
      <c r="F109" s="500"/>
      <c r="G109" s="500"/>
      <c r="H109" s="500"/>
      <c r="I109" s="500"/>
      <c r="J109" s="500"/>
      <c r="K109" s="61"/>
      <c r="L109" s="499" t="s">
        <v>351</v>
      </c>
      <c r="M109" s="499"/>
      <c r="N109" s="499"/>
      <c r="O109" s="499"/>
      <c r="Q109" s="12"/>
      <c r="R109" s="81"/>
      <c r="S109" s="499" t="s">
        <v>52</v>
      </c>
      <c r="T109" s="499"/>
      <c r="U109" s="499"/>
      <c r="V109" s="499"/>
      <c r="W109" s="499"/>
      <c r="X109" s="499"/>
      <c r="Y109" s="13"/>
    </row>
    <row r="110" spans="1:26" hidden="1" outlineLevel="1" x14ac:dyDescent="0.25">
      <c r="B110" s="56"/>
      <c r="C110" s="500" t="s">
        <v>42</v>
      </c>
      <c r="D110" s="500"/>
      <c r="E110" s="500"/>
      <c r="F110" s="500"/>
      <c r="G110" s="500" t="s">
        <v>43</v>
      </c>
      <c r="H110" s="500"/>
      <c r="I110" s="500"/>
      <c r="J110" s="500"/>
      <c r="K110" s="61"/>
      <c r="L110" s="62" t="s">
        <v>44</v>
      </c>
      <c r="M110" s="62" t="s">
        <v>45</v>
      </c>
      <c r="N110" s="62" t="s">
        <v>46</v>
      </c>
      <c r="O110" s="62" t="s">
        <v>47</v>
      </c>
      <c r="Q110" s="12"/>
      <c r="R110" s="81"/>
      <c r="S110" s="62" t="s">
        <v>42</v>
      </c>
      <c r="T110" s="62" t="s">
        <v>43</v>
      </c>
      <c r="U110" s="62" t="s">
        <v>44</v>
      </c>
      <c r="V110" s="62" t="s">
        <v>45</v>
      </c>
      <c r="W110" s="62" t="s">
        <v>46</v>
      </c>
      <c r="X110" s="62" t="s">
        <v>47</v>
      </c>
      <c r="Y110" s="13"/>
    </row>
    <row r="111" spans="1:26" hidden="1" outlineLevel="1" x14ac:dyDescent="0.25">
      <c r="B111" s="76"/>
      <c r="C111" s="77">
        <f>StartDate</f>
        <v>46023</v>
      </c>
      <c r="D111" s="77">
        <f>EDATE(C111,3)</f>
        <v>46113</v>
      </c>
      <c r="E111" s="77">
        <f t="shared" ref="E111:J111" si="51">EDATE(D111,3)</f>
        <v>46204</v>
      </c>
      <c r="F111" s="77">
        <f t="shared" si="51"/>
        <v>46296</v>
      </c>
      <c r="G111" s="77">
        <f t="shared" si="51"/>
        <v>46388</v>
      </c>
      <c r="H111" s="77">
        <f t="shared" si="51"/>
        <v>46478</v>
      </c>
      <c r="I111" s="77">
        <f t="shared" si="51"/>
        <v>46569</v>
      </c>
      <c r="J111" s="77">
        <f t="shared" si="51"/>
        <v>46661</v>
      </c>
      <c r="K111" s="61"/>
      <c r="L111" s="77">
        <f>EDATE(J111,3)</f>
        <v>46753</v>
      </c>
      <c r="M111" s="77">
        <f t="shared" ref="M111:O111" si="52">EDATE(L111,12)</f>
        <v>47119</v>
      </c>
      <c r="N111" s="77">
        <f t="shared" si="52"/>
        <v>47484</v>
      </c>
      <c r="O111" s="77">
        <f t="shared" si="52"/>
        <v>47849</v>
      </c>
      <c r="Q111" s="12"/>
      <c r="R111" s="81"/>
      <c r="S111" s="77">
        <f>C111</f>
        <v>46023</v>
      </c>
      <c r="T111" s="77">
        <f>G111</f>
        <v>46388</v>
      </c>
      <c r="U111" s="77">
        <f>L111</f>
        <v>46753</v>
      </c>
      <c r="V111" s="77">
        <f t="shared" ref="V111:X111" si="53">M111</f>
        <v>47119</v>
      </c>
      <c r="W111" s="77">
        <f t="shared" si="53"/>
        <v>47484</v>
      </c>
      <c r="X111" s="77">
        <f t="shared" si="53"/>
        <v>47849</v>
      </c>
      <c r="Y111" s="13"/>
    </row>
    <row r="112" spans="1:26" hidden="1" outlineLevel="1" x14ac:dyDescent="0.25">
      <c r="B112" s="81"/>
      <c r="C112" s="81"/>
      <c r="D112" s="81"/>
      <c r="E112" s="81"/>
      <c r="F112" s="81"/>
      <c r="G112" s="81"/>
      <c r="H112" s="81"/>
      <c r="I112" s="81"/>
      <c r="J112" s="81"/>
      <c r="K112" s="61"/>
      <c r="L112" s="81"/>
      <c r="M112" s="81"/>
      <c r="N112" s="81"/>
      <c r="O112" s="81"/>
      <c r="Q112" s="12"/>
      <c r="R112" s="59"/>
      <c r="S112" s="198"/>
      <c r="T112" s="198"/>
      <c r="U112" s="198"/>
      <c r="V112" s="198"/>
      <c r="W112" s="198"/>
      <c r="X112" s="198"/>
      <c r="Y112" s="13"/>
    </row>
    <row r="113" spans="2:25" hidden="1" outlineLevel="1" x14ac:dyDescent="0.25">
      <c r="B113" s="170" t="s">
        <v>352</v>
      </c>
      <c r="C113" s="171"/>
      <c r="D113" s="171"/>
      <c r="E113" s="171"/>
      <c r="F113" s="171"/>
      <c r="G113" s="171"/>
      <c r="H113" s="171"/>
      <c r="I113" s="171"/>
      <c r="J113" s="171"/>
      <c r="K113" s="61"/>
      <c r="L113" s="171"/>
      <c r="M113" s="171"/>
      <c r="N113" s="171"/>
      <c r="O113" s="171"/>
      <c r="Q113" s="12"/>
      <c r="R113" s="170" t="str">
        <f>B113</f>
        <v>Assets</v>
      </c>
      <c r="S113" s="171"/>
      <c r="T113" s="171"/>
      <c r="U113" s="171"/>
      <c r="V113" s="171"/>
      <c r="W113" s="171"/>
      <c r="X113" s="171"/>
      <c r="Y113" s="13"/>
    </row>
    <row r="114" spans="2:25" hidden="1" outlineLevel="1" x14ac:dyDescent="0.25">
      <c r="B114" s="168" t="s">
        <v>353</v>
      </c>
      <c r="C114" s="200">
        <f>C38</f>
        <v>87250</v>
      </c>
      <c r="D114" s="200">
        <f t="shared" ref="D114:O114" si="54">D38</f>
        <v>74500</v>
      </c>
      <c r="E114" s="200">
        <f t="shared" si="54"/>
        <v>46437.5</v>
      </c>
      <c r="F114" s="200">
        <f t="shared" si="54"/>
        <v>18375</v>
      </c>
      <c r="G114" s="200">
        <f t="shared" si="54"/>
        <v>269044.75731769862</v>
      </c>
      <c r="H114" s="200">
        <f t="shared" si="54"/>
        <v>241319.49663420086</v>
      </c>
      <c r="I114" s="200">
        <f t="shared" si="54"/>
        <v>208223.61111046677</v>
      </c>
      <c r="J114" s="200">
        <f t="shared" si="54"/>
        <v>155625.50756855411</v>
      </c>
      <c r="K114" s="61"/>
      <c r="L114" s="200">
        <f t="shared" si="54"/>
        <v>441159.68271191313</v>
      </c>
      <c r="M114" s="200">
        <f t="shared" si="54"/>
        <v>910506.64393328794</v>
      </c>
      <c r="N114" s="200">
        <f t="shared" si="54"/>
        <v>1886508.4230241999</v>
      </c>
      <c r="O114" s="200">
        <f t="shared" si="54"/>
        <v>3947035.5277407835</v>
      </c>
      <c r="Q114" s="12"/>
      <c r="R114" s="168" t="str">
        <f t="shared" ref="R114:R124" si="55">B114</f>
        <v>Cash</v>
      </c>
      <c r="S114" s="200">
        <f>F114</f>
        <v>18375</v>
      </c>
      <c r="T114" s="200">
        <f>J114</f>
        <v>155625.50756855411</v>
      </c>
      <c r="U114" s="200">
        <f t="shared" ref="U114:X124" si="56">L114</f>
        <v>441159.68271191313</v>
      </c>
      <c r="V114" s="200">
        <f t="shared" si="56"/>
        <v>910506.64393328794</v>
      </c>
      <c r="W114" s="200">
        <f t="shared" si="56"/>
        <v>1886508.4230241999</v>
      </c>
      <c r="X114" s="200">
        <f t="shared" si="56"/>
        <v>3947035.5277407835</v>
      </c>
      <c r="Y114" s="13"/>
    </row>
    <row r="115" spans="2:25" hidden="1" outlineLevel="1" x14ac:dyDescent="0.25">
      <c r="B115" s="168" t="s">
        <v>354</v>
      </c>
      <c r="C115" s="200">
        <f>Operations!D448</f>
        <v>0</v>
      </c>
      <c r="D115" s="200">
        <f>Operations!E448</f>
        <v>0</v>
      </c>
      <c r="E115" s="200">
        <f>Operations!F448</f>
        <v>0</v>
      </c>
      <c r="F115" s="200">
        <f>Operations!G448</f>
        <v>0</v>
      </c>
      <c r="G115" s="200">
        <f>Operations!H448</f>
        <v>29000</v>
      </c>
      <c r="H115" s="200">
        <f>Operations!I448</f>
        <v>27550</v>
      </c>
      <c r="I115" s="200">
        <f>Operations!J448</f>
        <v>26100</v>
      </c>
      <c r="J115" s="200">
        <f>Operations!K448</f>
        <v>24650</v>
      </c>
      <c r="K115" s="61"/>
      <c r="L115" s="200">
        <f>Operations!M448</f>
        <v>23200</v>
      </c>
      <c r="M115" s="200">
        <f>Operations!N448</f>
        <v>17400</v>
      </c>
      <c r="N115" s="200">
        <f>Operations!O448</f>
        <v>11600</v>
      </c>
      <c r="O115" s="200">
        <f>Operations!P448</f>
        <v>5800</v>
      </c>
      <c r="Q115" s="12"/>
      <c r="R115" s="168" t="str">
        <f t="shared" si="55"/>
        <v>Fixed Assets</v>
      </c>
      <c r="S115" s="200">
        <f t="shared" ref="S115:S118" si="57">F115</f>
        <v>0</v>
      </c>
      <c r="T115" s="200">
        <f t="shared" ref="T115:T118" si="58">J115</f>
        <v>24650</v>
      </c>
      <c r="U115" s="200">
        <f t="shared" si="56"/>
        <v>23200</v>
      </c>
      <c r="V115" s="200">
        <f t="shared" si="56"/>
        <v>17400</v>
      </c>
      <c r="W115" s="200">
        <f t="shared" si="56"/>
        <v>11600</v>
      </c>
      <c r="X115" s="200">
        <f t="shared" si="56"/>
        <v>5800</v>
      </c>
      <c r="Y115" s="13"/>
    </row>
    <row r="116" spans="2:25" hidden="1" outlineLevel="1" x14ac:dyDescent="0.25">
      <c r="B116" s="168" t="s">
        <v>355</v>
      </c>
      <c r="C116" s="200">
        <f>C94</f>
        <v>0</v>
      </c>
      <c r="D116" s="200">
        <f t="shared" ref="D116:O116" si="59">D94</f>
        <v>0</v>
      </c>
      <c r="E116" s="200">
        <f t="shared" si="59"/>
        <v>0</v>
      </c>
      <c r="F116" s="200">
        <f t="shared" si="59"/>
        <v>0</v>
      </c>
      <c r="G116" s="200">
        <f t="shared" si="59"/>
        <v>-1450</v>
      </c>
      <c r="H116" s="200">
        <f t="shared" si="59"/>
        <v>-1450</v>
      </c>
      <c r="I116" s="200">
        <f t="shared" si="59"/>
        <v>-1450</v>
      </c>
      <c r="J116" s="200">
        <f t="shared" si="59"/>
        <v>-1450</v>
      </c>
      <c r="K116" s="61"/>
      <c r="L116" s="200">
        <f t="shared" si="59"/>
        <v>-5800</v>
      </c>
      <c r="M116" s="200">
        <f t="shared" si="59"/>
        <v>-5800</v>
      </c>
      <c r="N116" s="200">
        <f t="shared" si="59"/>
        <v>-5800</v>
      </c>
      <c r="O116" s="200">
        <f t="shared" si="59"/>
        <v>-5800</v>
      </c>
      <c r="Q116" s="12"/>
      <c r="R116" s="168" t="str">
        <f t="shared" si="55"/>
        <v>Depreciation</v>
      </c>
      <c r="S116" s="200">
        <f t="shared" si="57"/>
        <v>0</v>
      </c>
      <c r="T116" s="200">
        <f t="shared" si="58"/>
        <v>-1450</v>
      </c>
      <c r="U116" s="200">
        <f t="shared" si="56"/>
        <v>-5800</v>
      </c>
      <c r="V116" s="200">
        <f t="shared" si="56"/>
        <v>-5800</v>
      </c>
      <c r="W116" s="200">
        <f t="shared" si="56"/>
        <v>-5800</v>
      </c>
      <c r="X116" s="200">
        <f t="shared" si="56"/>
        <v>-5800</v>
      </c>
      <c r="Y116" s="13"/>
    </row>
    <row r="117" spans="2:25" hidden="1" outlineLevel="1" x14ac:dyDescent="0.25">
      <c r="B117" s="168" t="str">
        <f>Operations!C528</f>
        <v>Accounts Receivable</v>
      </c>
      <c r="C117" s="200">
        <f>Operations!D528</f>
        <v>0</v>
      </c>
      <c r="D117" s="200">
        <f>Operations!E528</f>
        <v>0</v>
      </c>
      <c r="E117" s="200">
        <f>Operations!F528</f>
        <v>0</v>
      </c>
      <c r="F117" s="200">
        <f>Operations!G528</f>
        <v>0</v>
      </c>
      <c r="G117" s="200">
        <f>Operations!H528</f>
        <v>4789.1743561643825</v>
      </c>
      <c r="H117" s="200">
        <f>Operations!I528</f>
        <v>5544.0679640547951</v>
      </c>
      <c r="I117" s="200">
        <f>Operations!J528</f>
        <v>6417.9516768889334</v>
      </c>
      <c r="J117" s="200">
        <f>Operations!K528</f>
        <v>7429.5813099585521</v>
      </c>
      <c r="K117" s="61"/>
      <c r="L117" s="200">
        <f>Operations!M528</f>
        <v>15937.593212569367</v>
      </c>
      <c r="M117" s="200">
        <f>Operations!N528</f>
        <v>28621.627592360066</v>
      </c>
      <c r="N117" s="200">
        <f>Operations!O528</f>
        <v>51400.330972789379</v>
      </c>
      <c r="O117" s="200">
        <f>Operations!P528</f>
        <v>92307.609537115015</v>
      </c>
      <c r="Q117" s="12"/>
      <c r="R117" s="168" t="str">
        <f t="shared" si="55"/>
        <v>Accounts Receivable</v>
      </c>
      <c r="S117" s="200">
        <f t="shared" si="57"/>
        <v>0</v>
      </c>
      <c r="T117" s="200">
        <f t="shared" si="58"/>
        <v>7429.5813099585521</v>
      </c>
      <c r="U117" s="200">
        <f t="shared" si="56"/>
        <v>15937.593212569367</v>
      </c>
      <c r="V117" s="200">
        <f t="shared" si="56"/>
        <v>28621.627592360066</v>
      </c>
      <c r="W117" s="200">
        <f t="shared" si="56"/>
        <v>51400.330972789379</v>
      </c>
      <c r="X117" s="200">
        <f t="shared" si="56"/>
        <v>92307.609537115015</v>
      </c>
      <c r="Y117" s="13"/>
    </row>
    <row r="118" spans="2:25" ht="15.75" hidden="1" outlineLevel="1" thickBot="1" x14ac:dyDescent="0.3">
      <c r="B118" s="227" t="str">
        <f>Operations!C529</f>
        <v>Inventories</v>
      </c>
      <c r="C118" s="202">
        <f>Operations!D529</f>
        <v>0</v>
      </c>
      <c r="D118" s="202">
        <f>Operations!E529</f>
        <v>0</v>
      </c>
      <c r="E118" s="202">
        <f>Operations!F529</f>
        <v>0</v>
      </c>
      <c r="F118" s="202">
        <f>Operations!G529</f>
        <v>0</v>
      </c>
      <c r="G118" s="202">
        <f>Operations!H529</f>
        <v>0</v>
      </c>
      <c r="H118" s="202">
        <f>Operations!I529</f>
        <v>0</v>
      </c>
      <c r="I118" s="202">
        <f>Operations!J529</f>
        <v>0</v>
      </c>
      <c r="J118" s="202">
        <f>Operations!K529</f>
        <v>0</v>
      </c>
      <c r="K118" s="61"/>
      <c r="L118" s="202">
        <f>Operations!M529</f>
        <v>0</v>
      </c>
      <c r="M118" s="202">
        <f>Operations!N529</f>
        <v>0</v>
      </c>
      <c r="N118" s="202">
        <f>Operations!O529</f>
        <v>0</v>
      </c>
      <c r="O118" s="202">
        <f>Operations!P529</f>
        <v>0</v>
      </c>
      <c r="Q118" s="12"/>
      <c r="R118" s="227" t="str">
        <f t="shared" si="55"/>
        <v>Inventories</v>
      </c>
      <c r="S118" s="202">
        <f t="shared" si="57"/>
        <v>0</v>
      </c>
      <c r="T118" s="202">
        <f t="shared" si="58"/>
        <v>0</v>
      </c>
      <c r="U118" s="202">
        <f t="shared" si="56"/>
        <v>0</v>
      </c>
      <c r="V118" s="202">
        <f t="shared" si="56"/>
        <v>0</v>
      </c>
      <c r="W118" s="202">
        <f t="shared" si="56"/>
        <v>0</v>
      </c>
      <c r="X118" s="202">
        <f t="shared" si="56"/>
        <v>0</v>
      </c>
      <c r="Y118" s="13"/>
    </row>
    <row r="119" spans="2:25" ht="15.75" hidden="1" outlineLevel="1" thickBot="1" x14ac:dyDescent="0.3">
      <c r="B119" s="98" t="s">
        <v>356</v>
      </c>
      <c r="C119" s="114">
        <f>SUM(C114:C118)</f>
        <v>87250</v>
      </c>
      <c r="D119" s="114">
        <f t="shared" ref="D119:O119" si="60">SUM(D114:D118)</f>
        <v>74500</v>
      </c>
      <c r="E119" s="114">
        <f t="shared" si="60"/>
        <v>46437.5</v>
      </c>
      <c r="F119" s="114">
        <f t="shared" si="60"/>
        <v>18375</v>
      </c>
      <c r="G119" s="114">
        <f t="shared" si="60"/>
        <v>301383.93167386303</v>
      </c>
      <c r="H119" s="114">
        <f t="shared" si="60"/>
        <v>272963.56459825567</v>
      </c>
      <c r="I119" s="114">
        <f t="shared" si="60"/>
        <v>239291.56278735571</v>
      </c>
      <c r="J119" s="115">
        <f t="shared" si="60"/>
        <v>186255.08887851267</v>
      </c>
      <c r="K119" s="61"/>
      <c r="L119" s="116">
        <f t="shared" si="60"/>
        <v>474497.2759244825</v>
      </c>
      <c r="M119" s="114">
        <f t="shared" si="60"/>
        <v>950728.27152564796</v>
      </c>
      <c r="N119" s="114">
        <f t="shared" si="60"/>
        <v>1943708.7539969892</v>
      </c>
      <c r="O119" s="115">
        <f t="shared" si="60"/>
        <v>4039343.1372778984</v>
      </c>
      <c r="Q119" s="12"/>
      <c r="R119" s="98" t="str">
        <f t="shared" si="55"/>
        <v>Total Assets</v>
      </c>
      <c r="S119" s="114">
        <f>F119</f>
        <v>18375</v>
      </c>
      <c r="T119" s="114">
        <f>J119</f>
        <v>186255.08887851267</v>
      </c>
      <c r="U119" s="114">
        <f t="shared" si="56"/>
        <v>474497.2759244825</v>
      </c>
      <c r="V119" s="114">
        <f t="shared" si="56"/>
        <v>950728.27152564796</v>
      </c>
      <c r="W119" s="114">
        <f t="shared" si="56"/>
        <v>1943708.7539969892</v>
      </c>
      <c r="X119" s="115">
        <f t="shared" si="56"/>
        <v>4039343.1372778984</v>
      </c>
      <c r="Y119" s="13"/>
    </row>
    <row r="120" spans="2:25" hidden="1" outlineLevel="1" x14ac:dyDescent="0.25">
      <c r="C120" s="12"/>
      <c r="J120" s="13"/>
      <c r="K120" s="27"/>
      <c r="L120" s="12"/>
      <c r="O120" s="13"/>
      <c r="Q120" s="12"/>
      <c r="R120" s="25"/>
      <c r="S120" s="25"/>
      <c r="T120" s="25"/>
      <c r="U120" s="25"/>
      <c r="V120" s="25"/>
      <c r="W120" s="25"/>
      <c r="X120" s="25"/>
      <c r="Y120" s="13"/>
    </row>
    <row r="121" spans="2:25" hidden="1" outlineLevel="1" x14ac:dyDescent="0.25">
      <c r="B121" s="170" t="s">
        <v>357</v>
      </c>
      <c r="C121" s="171"/>
      <c r="D121" s="171"/>
      <c r="E121" s="171"/>
      <c r="F121" s="171"/>
      <c r="G121" s="171"/>
      <c r="H121" s="171"/>
      <c r="I121" s="171"/>
      <c r="J121" s="171"/>
      <c r="K121" s="172"/>
      <c r="L121" s="171"/>
      <c r="M121" s="171"/>
      <c r="N121" s="171"/>
      <c r="O121" s="171"/>
      <c r="Q121" s="12"/>
      <c r="R121" s="170" t="str">
        <f t="shared" si="55"/>
        <v>Liabilities</v>
      </c>
      <c r="S121" s="171"/>
      <c r="T121" s="171"/>
      <c r="U121" s="171"/>
      <c r="V121" s="171"/>
      <c r="W121" s="171"/>
      <c r="X121" s="171"/>
      <c r="Y121" s="13"/>
    </row>
    <row r="122" spans="2:25" hidden="1" outlineLevel="1" x14ac:dyDescent="0.25">
      <c r="B122" s="168" t="s">
        <v>264</v>
      </c>
      <c r="C122" s="200">
        <f>Operations!D595</f>
        <v>0</v>
      </c>
      <c r="D122" s="200">
        <f>Operations!E595</f>
        <v>0</v>
      </c>
      <c r="E122" s="200">
        <f>Operations!F595</f>
        <v>0</v>
      </c>
      <c r="F122" s="200">
        <f>Operations!G595</f>
        <v>0</v>
      </c>
      <c r="G122" s="200">
        <f>Operations!H595</f>
        <v>0</v>
      </c>
      <c r="H122" s="200">
        <f>Operations!I595</f>
        <v>0</v>
      </c>
      <c r="I122" s="200">
        <f>Operations!J595</f>
        <v>0</v>
      </c>
      <c r="J122" s="200">
        <f>Operations!K595</f>
        <v>0</v>
      </c>
      <c r="K122" s="172"/>
      <c r="L122" s="200">
        <f>Operations!M595</f>
        <v>0</v>
      </c>
      <c r="M122" s="200">
        <f>Operations!N595</f>
        <v>0</v>
      </c>
      <c r="N122" s="200">
        <f>Operations!O595</f>
        <v>0</v>
      </c>
      <c r="O122" s="200">
        <f>Operations!P595</f>
        <v>0</v>
      </c>
      <c r="Q122" s="12"/>
      <c r="R122" s="168" t="str">
        <f t="shared" si="55"/>
        <v>Debt</v>
      </c>
      <c r="S122" s="200">
        <f>F122</f>
        <v>0</v>
      </c>
      <c r="T122" s="200">
        <f>J122</f>
        <v>0</v>
      </c>
      <c r="U122" s="200">
        <f t="shared" si="56"/>
        <v>0</v>
      </c>
      <c r="V122" s="200">
        <f t="shared" si="56"/>
        <v>0</v>
      </c>
      <c r="W122" s="200">
        <f t="shared" si="56"/>
        <v>0</v>
      </c>
      <c r="X122" s="200">
        <f t="shared" si="56"/>
        <v>0</v>
      </c>
      <c r="Y122" s="13"/>
    </row>
    <row r="123" spans="2:25" ht="15.75" hidden="1" outlineLevel="1" thickBot="1" x14ac:dyDescent="0.3">
      <c r="B123" s="227" t="str">
        <f>Operations!C533</f>
        <v>Accounts Payable</v>
      </c>
      <c r="C123" s="228">
        <f>Operations!D533</f>
        <v>0</v>
      </c>
      <c r="D123" s="228">
        <f>Operations!E533</f>
        <v>0</v>
      </c>
      <c r="E123" s="228">
        <f>Operations!F533</f>
        <v>0</v>
      </c>
      <c r="F123" s="228">
        <f>Operations!G533</f>
        <v>0</v>
      </c>
      <c r="G123" s="228">
        <f>Operations!H533</f>
        <v>221.5119170630137</v>
      </c>
      <c r="H123" s="228">
        <f>Operations!I533</f>
        <v>256.42773299007126</v>
      </c>
      <c r="I123" s="228">
        <f>Operations!J533</f>
        <v>296.84715440263136</v>
      </c>
      <c r="J123" s="228">
        <f>Operations!K533</f>
        <v>343.63768711534613</v>
      </c>
      <c r="K123" s="176"/>
      <c r="L123" s="228">
        <f>Operations!M533</f>
        <v>648.49373311821932</v>
      </c>
      <c r="M123" s="228">
        <f>Operations!N533</f>
        <v>1211.185635926304</v>
      </c>
      <c r="N123" s="228">
        <f>Operations!O533</f>
        <v>2262.1200017160049</v>
      </c>
      <c r="O123" s="228">
        <f>Operations!P533</f>
        <v>4224.940215914995</v>
      </c>
      <c r="Q123" s="12"/>
      <c r="R123" s="227" t="str">
        <f t="shared" si="55"/>
        <v>Accounts Payable</v>
      </c>
      <c r="S123" s="202">
        <f>F123</f>
        <v>0</v>
      </c>
      <c r="T123" s="202">
        <f>J123</f>
        <v>343.63768711534613</v>
      </c>
      <c r="U123" s="202">
        <f t="shared" si="56"/>
        <v>648.49373311821932</v>
      </c>
      <c r="V123" s="202">
        <f t="shared" si="56"/>
        <v>1211.185635926304</v>
      </c>
      <c r="W123" s="202">
        <f t="shared" si="56"/>
        <v>2262.1200017160049</v>
      </c>
      <c r="X123" s="202">
        <f t="shared" si="56"/>
        <v>4224.940215914995</v>
      </c>
      <c r="Y123" s="13"/>
    </row>
    <row r="124" spans="2:25" ht="15.75" hidden="1" outlineLevel="1" thickBot="1" x14ac:dyDescent="0.3">
      <c r="B124" s="98" t="s">
        <v>358</v>
      </c>
      <c r="C124" s="114">
        <f t="shared" ref="C124:O124" si="61">SUM(C122:C123)</f>
        <v>0</v>
      </c>
      <c r="D124" s="114">
        <f t="shared" si="61"/>
        <v>0</v>
      </c>
      <c r="E124" s="114">
        <f t="shared" si="61"/>
        <v>0</v>
      </c>
      <c r="F124" s="114">
        <f t="shared" si="61"/>
        <v>0</v>
      </c>
      <c r="G124" s="114">
        <f t="shared" si="61"/>
        <v>221.5119170630137</v>
      </c>
      <c r="H124" s="114">
        <f t="shared" si="61"/>
        <v>256.42773299007126</v>
      </c>
      <c r="I124" s="114">
        <f t="shared" si="61"/>
        <v>296.84715440263136</v>
      </c>
      <c r="J124" s="114">
        <f t="shared" si="61"/>
        <v>343.63768711534613</v>
      </c>
      <c r="K124" s="177"/>
      <c r="L124" s="114">
        <f t="shared" si="61"/>
        <v>648.49373311821932</v>
      </c>
      <c r="M124" s="114">
        <f t="shared" si="61"/>
        <v>1211.185635926304</v>
      </c>
      <c r="N124" s="114">
        <f t="shared" si="61"/>
        <v>2262.1200017160049</v>
      </c>
      <c r="O124" s="115">
        <f t="shared" si="61"/>
        <v>4224.940215914995</v>
      </c>
      <c r="Q124" s="12"/>
      <c r="R124" s="98" t="str">
        <f t="shared" si="55"/>
        <v>Total Liabilities</v>
      </c>
      <c r="S124" s="114">
        <f>F124</f>
        <v>0</v>
      </c>
      <c r="T124" s="114">
        <f>J124</f>
        <v>343.63768711534613</v>
      </c>
      <c r="U124" s="114">
        <f t="shared" si="56"/>
        <v>648.49373311821932</v>
      </c>
      <c r="V124" s="114">
        <f t="shared" si="56"/>
        <v>1211.185635926304</v>
      </c>
      <c r="W124" s="114">
        <f t="shared" si="56"/>
        <v>2262.1200017160049</v>
      </c>
      <c r="X124" s="115">
        <f t="shared" si="56"/>
        <v>4224.940215914995</v>
      </c>
      <c r="Y124" s="13"/>
    </row>
    <row r="125" spans="2:25" ht="15.75" hidden="1" outlineLevel="1" thickBot="1" x14ac:dyDescent="0.3">
      <c r="B125" s="229" t="s">
        <v>359</v>
      </c>
      <c r="C125" s="230">
        <f t="shared" ref="C125:J125" si="62">C119-C124</f>
        <v>87250</v>
      </c>
      <c r="D125" s="230">
        <f t="shared" si="62"/>
        <v>74500</v>
      </c>
      <c r="E125" s="230">
        <f t="shared" si="62"/>
        <v>46437.5</v>
      </c>
      <c r="F125" s="230">
        <f t="shared" si="62"/>
        <v>18375</v>
      </c>
      <c r="G125" s="230">
        <f t="shared" si="62"/>
        <v>301162.41975679999</v>
      </c>
      <c r="H125" s="230">
        <f t="shared" si="62"/>
        <v>272707.13686526561</v>
      </c>
      <c r="I125" s="230">
        <f t="shared" si="62"/>
        <v>238994.71563295307</v>
      </c>
      <c r="J125" s="230">
        <f t="shared" si="62"/>
        <v>185911.45119139733</v>
      </c>
      <c r="K125" s="231"/>
      <c r="L125" s="230">
        <f>L119-L124</f>
        <v>473848.78219136427</v>
      </c>
      <c r="M125" s="230">
        <f>M119-M124</f>
        <v>949517.08588972164</v>
      </c>
      <c r="N125" s="230">
        <f>N119-N124</f>
        <v>1941446.6339952732</v>
      </c>
      <c r="O125" s="230">
        <f>O119-O124</f>
        <v>4035118.1970619834</v>
      </c>
      <c r="Q125" s="12"/>
      <c r="R125" s="229" t="str">
        <f>B125</f>
        <v>Equity Value</v>
      </c>
      <c r="S125" s="230">
        <f>F125</f>
        <v>18375</v>
      </c>
      <c r="T125" s="230">
        <f>J125</f>
        <v>185911.45119139733</v>
      </c>
      <c r="U125" s="230">
        <f>L125</f>
        <v>473848.78219136427</v>
      </c>
      <c r="V125" s="230">
        <f>M125</f>
        <v>949517.08588972164</v>
      </c>
      <c r="W125" s="230">
        <f>N125</f>
        <v>1941446.6339952732</v>
      </c>
      <c r="X125" s="230">
        <f>O125</f>
        <v>4035118.1970619834</v>
      </c>
      <c r="Y125" s="13"/>
    </row>
    <row r="126" spans="2:25" ht="15.75" hidden="1" outlineLevel="1" thickBot="1" x14ac:dyDescent="0.3">
      <c r="B126" s="98" t="s">
        <v>360</v>
      </c>
      <c r="C126" s="114">
        <f>C125+C124</f>
        <v>87250</v>
      </c>
      <c r="D126" s="114">
        <f t="shared" ref="D126:J126" si="63">D125+D124</f>
        <v>74500</v>
      </c>
      <c r="E126" s="114">
        <f>E125+E124</f>
        <v>46437.5</v>
      </c>
      <c r="F126" s="114">
        <f t="shared" si="63"/>
        <v>18375</v>
      </c>
      <c r="G126" s="114">
        <f t="shared" si="63"/>
        <v>301383.93167386303</v>
      </c>
      <c r="H126" s="114">
        <f t="shared" si="63"/>
        <v>272963.56459825567</v>
      </c>
      <c r="I126" s="114">
        <f t="shared" si="63"/>
        <v>239291.56278735571</v>
      </c>
      <c r="J126" s="114">
        <f t="shared" si="63"/>
        <v>186255.08887851267</v>
      </c>
      <c r="K126" s="177"/>
      <c r="L126" s="114">
        <f>L125+L124</f>
        <v>474497.2759244825</v>
      </c>
      <c r="M126" s="114">
        <f>M125+M124</f>
        <v>950728.27152564796</v>
      </c>
      <c r="N126" s="114">
        <f>N125+N124</f>
        <v>1943708.7539969892</v>
      </c>
      <c r="O126" s="115">
        <f>O125+O124</f>
        <v>4039343.1372778984</v>
      </c>
      <c r="Q126" s="12"/>
      <c r="R126" s="98" t="s">
        <v>360</v>
      </c>
      <c r="S126" s="114">
        <f t="shared" ref="S126:X126" si="64">S125+S124</f>
        <v>18375</v>
      </c>
      <c r="T126" s="114">
        <f>T125+T124</f>
        <v>186255.08887851267</v>
      </c>
      <c r="U126" s="114">
        <f t="shared" si="64"/>
        <v>474497.2759244825</v>
      </c>
      <c r="V126" s="114">
        <f t="shared" si="64"/>
        <v>950728.27152564796</v>
      </c>
      <c r="W126" s="114">
        <f t="shared" si="64"/>
        <v>1943708.7539969892</v>
      </c>
      <c r="X126" s="115">
        <f t="shared" si="64"/>
        <v>4039343.1372778984</v>
      </c>
      <c r="Y126" s="13"/>
    </row>
    <row r="127" spans="2:25" ht="15.75" hidden="1" outlineLevel="1" thickBot="1" x14ac:dyDescent="0.3">
      <c r="B127" s="188"/>
      <c r="C127" s="189"/>
      <c r="D127" s="189"/>
      <c r="E127" s="189"/>
      <c r="F127" s="189"/>
      <c r="G127" s="189"/>
      <c r="H127" s="189"/>
      <c r="I127" s="189"/>
      <c r="J127" s="189"/>
      <c r="K127" s="189"/>
      <c r="L127" s="189"/>
      <c r="M127" s="189"/>
      <c r="N127" s="189"/>
      <c r="O127" s="189"/>
      <c r="Q127" s="35"/>
      <c r="R127" s="36"/>
      <c r="S127" s="36"/>
      <c r="T127" s="36"/>
      <c r="U127" s="36"/>
      <c r="V127" s="36"/>
      <c r="W127" s="36"/>
      <c r="X127" s="36"/>
      <c r="Y127" s="37"/>
    </row>
    <row r="128" spans="2:25" ht="15.75" hidden="1" outlineLevel="1" thickTop="1" x14ac:dyDescent="0.25"/>
    <row r="129" spans="1:24" ht="15.75" collapsed="1" x14ac:dyDescent="0.25">
      <c r="A129" s="356" t="s">
        <v>361</v>
      </c>
    </row>
    <row r="130" spans="1:24" ht="24.75" hidden="1" outlineLevel="1" thickBot="1" x14ac:dyDescent="0.45">
      <c r="B130" s="3" t="s">
        <v>362</v>
      </c>
      <c r="C130" s="4"/>
      <c r="D130" s="4"/>
      <c r="E130" s="4"/>
      <c r="F130" s="4"/>
      <c r="G130" s="4"/>
      <c r="H130" s="4"/>
      <c r="I130" s="4"/>
      <c r="J130" s="4"/>
      <c r="K130" s="4"/>
      <c r="L130" s="4"/>
      <c r="M130" s="4"/>
      <c r="N130" s="4"/>
      <c r="O130" s="4"/>
    </row>
    <row r="131" spans="1:24" ht="15.75" hidden="1" outlineLevel="1" thickTop="1" x14ac:dyDescent="0.25">
      <c r="B131" s="9" t="str">
        <f>SubHeader</f>
        <v>EUR</v>
      </c>
      <c r="D131" s="11"/>
      <c r="E131" s="11"/>
    </row>
    <row r="132" spans="1:24" hidden="1" outlineLevel="1" x14ac:dyDescent="0.25"/>
    <row r="133" spans="1:24" ht="19.5" hidden="1" outlineLevel="1" x14ac:dyDescent="0.3">
      <c r="B133" s="54" t="s">
        <v>363</v>
      </c>
    </row>
    <row r="134" spans="1:24" hidden="1" outlineLevel="1" x14ac:dyDescent="0.25">
      <c r="B134" s="56"/>
      <c r="C134" s="500" t="s">
        <v>364</v>
      </c>
      <c r="D134" s="500"/>
      <c r="E134" s="500"/>
      <c r="F134" s="500"/>
      <c r="G134" s="500"/>
      <c r="H134" s="500"/>
      <c r="I134" s="500"/>
      <c r="J134" s="500"/>
      <c r="K134" s="61"/>
      <c r="L134" s="499" t="s">
        <v>365</v>
      </c>
      <c r="M134" s="499"/>
      <c r="N134" s="499"/>
      <c r="O134" s="499"/>
      <c r="S134" s="499" t="s">
        <v>52</v>
      </c>
      <c r="T134" s="499"/>
      <c r="U134" s="499"/>
      <c r="V134" s="499"/>
      <c r="W134" s="499"/>
      <c r="X134" s="499"/>
    </row>
    <row r="135" spans="1:24" hidden="1" outlineLevel="1" x14ac:dyDescent="0.25">
      <c r="B135" s="56"/>
      <c r="C135" s="500" t="s">
        <v>42</v>
      </c>
      <c r="D135" s="500"/>
      <c r="E135" s="500"/>
      <c r="F135" s="500"/>
      <c r="G135" s="500" t="s">
        <v>43</v>
      </c>
      <c r="H135" s="500"/>
      <c r="I135" s="500"/>
      <c r="J135" s="500"/>
      <c r="K135" s="61"/>
      <c r="L135" s="62" t="s">
        <v>44</v>
      </c>
      <c r="M135" s="62" t="s">
        <v>45</v>
      </c>
      <c r="N135" s="62" t="s">
        <v>46</v>
      </c>
      <c r="O135" s="62" t="s">
        <v>47</v>
      </c>
      <c r="S135" s="62" t="s">
        <v>42</v>
      </c>
      <c r="T135" s="62" t="s">
        <v>43</v>
      </c>
      <c r="U135" s="62" t="s">
        <v>44</v>
      </c>
      <c r="V135" s="62" t="s">
        <v>45</v>
      </c>
      <c r="W135" s="62" t="s">
        <v>46</v>
      </c>
      <c r="X135" s="62" t="s">
        <v>47</v>
      </c>
    </row>
    <row r="136" spans="1:24" hidden="1" outlineLevel="1" x14ac:dyDescent="0.25">
      <c r="B136" s="76"/>
      <c r="C136" s="77">
        <f>StartDate</f>
        <v>46023</v>
      </c>
      <c r="D136" s="77">
        <f>EDATE(C136,3)</f>
        <v>46113</v>
      </c>
      <c r="E136" s="77">
        <f t="shared" ref="E136:J136" si="65">EDATE(D136,3)</f>
        <v>46204</v>
      </c>
      <c r="F136" s="77">
        <f t="shared" si="65"/>
        <v>46296</v>
      </c>
      <c r="G136" s="77">
        <f t="shared" si="65"/>
        <v>46388</v>
      </c>
      <c r="H136" s="77">
        <f t="shared" si="65"/>
        <v>46478</v>
      </c>
      <c r="I136" s="77">
        <f t="shared" si="65"/>
        <v>46569</v>
      </c>
      <c r="J136" s="77">
        <f t="shared" si="65"/>
        <v>46661</v>
      </c>
      <c r="K136" s="233"/>
      <c r="L136" s="44">
        <f>EDATE(J136,3)</f>
        <v>46753</v>
      </c>
      <c r="M136" s="45">
        <f t="shared" ref="M136:O136" si="66">EDATE(L136,12)</f>
        <v>47119</v>
      </c>
      <c r="N136" s="45">
        <f t="shared" si="66"/>
        <v>47484</v>
      </c>
      <c r="O136" s="46">
        <f t="shared" si="66"/>
        <v>47849</v>
      </c>
      <c r="S136" s="77">
        <f>C136</f>
        <v>46023</v>
      </c>
      <c r="T136" s="77">
        <f>G136</f>
        <v>46388</v>
      </c>
      <c r="U136" s="77">
        <f>L136</f>
        <v>46753</v>
      </c>
      <c r="V136" s="77">
        <f t="shared" ref="V136:X141" si="67">M136</f>
        <v>47119</v>
      </c>
      <c r="W136" s="77">
        <f t="shared" si="67"/>
        <v>47484</v>
      </c>
      <c r="X136" s="77">
        <f t="shared" si="67"/>
        <v>47849</v>
      </c>
    </row>
    <row r="137" spans="1:24" hidden="1" outlineLevel="1" x14ac:dyDescent="0.25">
      <c r="B137" s="81" t="s">
        <v>339</v>
      </c>
      <c r="C137" s="200">
        <f>C88</f>
        <v>0</v>
      </c>
      <c r="D137" s="200">
        <f t="shared" ref="D137:O137" si="68">D88</f>
        <v>0</v>
      </c>
      <c r="E137" s="200">
        <f t="shared" si="68"/>
        <v>0</v>
      </c>
      <c r="F137" s="200">
        <f t="shared" si="68"/>
        <v>0</v>
      </c>
      <c r="G137" s="200">
        <f t="shared" si="68"/>
        <v>41679.919756799995</v>
      </c>
      <c r="H137" s="200">
        <f t="shared" si="68"/>
        <v>48249.7171084656</v>
      </c>
      <c r="I137" s="200">
        <f t="shared" si="68"/>
        <v>55855.078767687504</v>
      </c>
      <c r="J137" s="200">
        <f t="shared" si="68"/>
        <v>64659.235558444256</v>
      </c>
      <c r="K137" s="61"/>
      <c r="L137" s="200">
        <f t="shared" si="68"/>
        <v>558052.13099996699</v>
      </c>
      <c r="M137" s="200">
        <f t="shared" si="68"/>
        <v>1000481.1314098323</v>
      </c>
      <c r="N137" s="200">
        <f t="shared" si="68"/>
        <v>1793544.7004441782</v>
      </c>
      <c r="O137" s="200">
        <f t="shared" si="68"/>
        <v>3215017.4302238007</v>
      </c>
      <c r="R137" s="195" t="str">
        <f>B137</f>
        <v>Gross Profit</v>
      </c>
      <c r="S137" s="199">
        <f>SUM(C137:F137)</f>
        <v>0</v>
      </c>
      <c r="T137" s="199">
        <f>SUM(G137:J137)</f>
        <v>210443.95119139735</v>
      </c>
      <c r="U137" s="199">
        <f>L137</f>
        <v>558052.13099996699</v>
      </c>
      <c r="V137" s="199">
        <f t="shared" si="67"/>
        <v>1000481.1314098323</v>
      </c>
      <c r="W137" s="199">
        <f t="shared" si="67"/>
        <v>1793544.7004441782</v>
      </c>
      <c r="X137" s="199">
        <f t="shared" si="67"/>
        <v>3215017.4302238007</v>
      </c>
    </row>
    <row r="138" spans="1:24" hidden="1" outlineLevel="1" x14ac:dyDescent="0.25">
      <c r="B138" s="81" t="s">
        <v>342</v>
      </c>
      <c r="C138" s="200">
        <f>C92</f>
        <v>-12750</v>
      </c>
      <c r="D138" s="200">
        <f t="shared" ref="D138:O138" si="69">D92</f>
        <v>-12750</v>
      </c>
      <c r="E138" s="200">
        <f t="shared" si="69"/>
        <v>-28062.5</v>
      </c>
      <c r="F138" s="200">
        <f t="shared" si="69"/>
        <v>-28062.5</v>
      </c>
      <c r="G138" s="200">
        <f t="shared" si="69"/>
        <v>-15762.580243200005</v>
      </c>
      <c r="H138" s="200">
        <f t="shared" si="69"/>
        <v>-27005.2828915344</v>
      </c>
      <c r="I138" s="200">
        <f t="shared" si="69"/>
        <v>-32262.421232312496</v>
      </c>
      <c r="J138" s="200">
        <f t="shared" si="69"/>
        <v>-51633.264441555744</v>
      </c>
      <c r="K138" s="61"/>
      <c r="L138" s="200">
        <f t="shared" si="69"/>
        <v>-106262.66900003306</v>
      </c>
      <c r="M138" s="200">
        <f t="shared" si="69"/>
        <v>330115.6514098323</v>
      </c>
      <c r="N138" s="200">
        <f t="shared" si="69"/>
        <v>1055128.8801241782</v>
      </c>
      <c r="O138" s="200">
        <f t="shared" si="69"/>
        <v>2468943.0153726004</v>
      </c>
      <c r="R138" s="195" t="str">
        <f>B138</f>
        <v>EBITDA</v>
      </c>
      <c r="S138" s="199">
        <f>SUM(C138:F138)</f>
        <v>-81625</v>
      </c>
      <c r="T138" s="199">
        <f>SUM(G138:J138)</f>
        <v>-126663.54880860265</v>
      </c>
      <c r="U138" s="199">
        <f>L138</f>
        <v>-106262.66900003306</v>
      </c>
      <c r="V138" s="199">
        <f t="shared" si="67"/>
        <v>330115.6514098323</v>
      </c>
      <c r="W138" s="199">
        <f t="shared" si="67"/>
        <v>1055128.8801241782</v>
      </c>
      <c r="X138" s="199">
        <f t="shared" si="67"/>
        <v>2468943.0153726004</v>
      </c>
    </row>
    <row r="139" spans="1:24" hidden="1" outlineLevel="1" x14ac:dyDescent="0.25">
      <c r="B139" s="81" t="s">
        <v>344</v>
      </c>
      <c r="C139" s="200">
        <f>C95</f>
        <v>-12750</v>
      </c>
      <c r="D139" s="200">
        <f t="shared" ref="D139:O139" si="70">D95</f>
        <v>-12750</v>
      </c>
      <c r="E139" s="200">
        <f t="shared" si="70"/>
        <v>-28062.5</v>
      </c>
      <c r="F139" s="200">
        <f t="shared" si="70"/>
        <v>-28062.5</v>
      </c>
      <c r="G139" s="200">
        <f t="shared" si="70"/>
        <v>-17212.580243200005</v>
      </c>
      <c r="H139" s="200">
        <f t="shared" si="70"/>
        <v>-28455.2828915344</v>
      </c>
      <c r="I139" s="200">
        <f t="shared" si="70"/>
        <v>-33712.421232312496</v>
      </c>
      <c r="J139" s="200">
        <f t="shared" si="70"/>
        <v>-53083.264441555744</v>
      </c>
      <c r="K139" s="61"/>
      <c r="L139" s="200">
        <f t="shared" si="70"/>
        <v>-112062.66900003306</v>
      </c>
      <c r="M139" s="200">
        <f t="shared" si="70"/>
        <v>324315.6514098323</v>
      </c>
      <c r="N139" s="200">
        <f t="shared" si="70"/>
        <v>1049328.8801241782</v>
      </c>
      <c r="O139" s="200">
        <f t="shared" si="70"/>
        <v>2463143.0153726004</v>
      </c>
      <c r="R139" s="195" t="str">
        <f t="shared" ref="R139:R141" si="71">B139</f>
        <v>Operating Profit (EBIT)</v>
      </c>
      <c r="S139" s="199">
        <f t="shared" ref="S139:S141" si="72">SUM(C139:F139)</f>
        <v>-81625</v>
      </c>
      <c r="T139" s="199">
        <f t="shared" ref="T139:T141" si="73">SUM(G139:J139)</f>
        <v>-132463.54880860265</v>
      </c>
      <c r="U139" s="199">
        <f t="shared" ref="U139:U141" si="74">L139</f>
        <v>-112062.66900003306</v>
      </c>
      <c r="V139" s="199">
        <f t="shared" si="67"/>
        <v>324315.6514098323</v>
      </c>
      <c r="W139" s="199">
        <f t="shared" si="67"/>
        <v>1049328.8801241782</v>
      </c>
      <c r="X139" s="199">
        <f t="shared" si="67"/>
        <v>2463143.0153726004</v>
      </c>
    </row>
    <row r="140" spans="1:24" hidden="1" outlineLevel="1" x14ac:dyDescent="0.25">
      <c r="B140" s="81" t="s">
        <v>346</v>
      </c>
      <c r="C140" s="200">
        <f>C98</f>
        <v>-12750</v>
      </c>
      <c r="D140" s="200">
        <f t="shared" ref="D140:O140" si="75">D98</f>
        <v>-12750</v>
      </c>
      <c r="E140" s="200">
        <f t="shared" si="75"/>
        <v>-28062.5</v>
      </c>
      <c r="F140" s="200">
        <f t="shared" si="75"/>
        <v>-28062.5</v>
      </c>
      <c r="G140" s="200">
        <f t="shared" si="75"/>
        <v>-17212.580243200005</v>
      </c>
      <c r="H140" s="200">
        <f t="shared" si="75"/>
        <v>-28455.2828915344</v>
      </c>
      <c r="I140" s="200">
        <f t="shared" si="75"/>
        <v>-33712.421232312496</v>
      </c>
      <c r="J140" s="200">
        <f t="shared" si="75"/>
        <v>-53083.264441555744</v>
      </c>
      <c r="K140" s="61"/>
      <c r="L140" s="200">
        <f t="shared" si="75"/>
        <v>-112062.66900003306</v>
      </c>
      <c r="M140" s="200">
        <f t="shared" si="75"/>
        <v>324315.6514098323</v>
      </c>
      <c r="N140" s="200">
        <f t="shared" si="75"/>
        <v>1049328.8801241782</v>
      </c>
      <c r="O140" s="200">
        <f t="shared" si="75"/>
        <v>2463143.0153726004</v>
      </c>
      <c r="R140" s="195" t="str">
        <f t="shared" si="71"/>
        <v>Profit before Tax</v>
      </c>
      <c r="S140" s="199">
        <f t="shared" si="72"/>
        <v>-81625</v>
      </c>
      <c r="T140" s="199">
        <f t="shared" si="73"/>
        <v>-132463.54880860265</v>
      </c>
      <c r="U140" s="199">
        <f t="shared" si="74"/>
        <v>-112062.66900003306</v>
      </c>
      <c r="V140" s="199">
        <f t="shared" si="67"/>
        <v>324315.6514098323</v>
      </c>
      <c r="W140" s="199">
        <f t="shared" si="67"/>
        <v>1049328.8801241782</v>
      </c>
      <c r="X140" s="199">
        <f t="shared" si="67"/>
        <v>2463143.0153726004</v>
      </c>
    </row>
    <row r="141" spans="1:24" hidden="1" outlineLevel="1" x14ac:dyDescent="0.25">
      <c r="B141" s="126" t="s">
        <v>347</v>
      </c>
      <c r="C141" s="200">
        <f>C101</f>
        <v>-12750</v>
      </c>
      <c r="D141" s="200">
        <f t="shared" ref="D141:O141" si="76">D101</f>
        <v>-12750</v>
      </c>
      <c r="E141" s="200">
        <f t="shared" si="76"/>
        <v>-28062.5</v>
      </c>
      <c r="F141" s="200">
        <f t="shared" si="76"/>
        <v>-28062.5</v>
      </c>
      <c r="G141" s="200">
        <f t="shared" si="76"/>
        <v>-17212.580243200005</v>
      </c>
      <c r="H141" s="200">
        <f t="shared" si="76"/>
        <v>-28455.2828915344</v>
      </c>
      <c r="I141" s="200">
        <f t="shared" si="76"/>
        <v>-33712.421232312496</v>
      </c>
      <c r="J141" s="200">
        <f t="shared" si="76"/>
        <v>-53083.264441555744</v>
      </c>
      <c r="K141" s="61"/>
      <c r="L141" s="200">
        <f t="shared" si="76"/>
        <v>-112062.66900003306</v>
      </c>
      <c r="M141" s="200">
        <f t="shared" si="76"/>
        <v>275668.30369835743</v>
      </c>
      <c r="N141" s="200">
        <f t="shared" si="76"/>
        <v>891929.54810555151</v>
      </c>
      <c r="O141" s="200">
        <f t="shared" si="76"/>
        <v>2093671.5630667103</v>
      </c>
      <c r="R141" s="195" t="str">
        <f t="shared" si="71"/>
        <v>Profit after Tax (Net Income)</v>
      </c>
      <c r="S141" s="199">
        <f t="shared" si="72"/>
        <v>-81625</v>
      </c>
      <c r="T141" s="199">
        <f t="shared" si="73"/>
        <v>-132463.54880860265</v>
      </c>
      <c r="U141" s="199">
        <f t="shared" si="74"/>
        <v>-112062.66900003306</v>
      </c>
      <c r="V141" s="199">
        <f t="shared" si="67"/>
        <v>275668.30369835743</v>
      </c>
      <c r="W141" s="199">
        <f t="shared" si="67"/>
        <v>891929.54810555151</v>
      </c>
      <c r="X141" s="199">
        <f t="shared" si="67"/>
        <v>2093671.5630667103</v>
      </c>
    </row>
    <row r="142" spans="1:24" hidden="1" outlineLevel="1" x14ac:dyDescent="0.25"/>
    <row r="143" spans="1:24" hidden="1" outlineLevel="1" x14ac:dyDescent="0.25"/>
    <row r="144" spans="1:24" hidden="1" outlineLevel="1" x14ac:dyDescent="0.25"/>
    <row r="145" spans="1:25" hidden="1" outlineLevel="1" x14ac:dyDescent="0.25"/>
    <row r="146" spans="1:25" hidden="1" outlineLevel="1" x14ac:dyDescent="0.25"/>
    <row r="147" spans="1:25" ht="15.75" collapsed="1" x14ac:dyDescent="0.25">
      <c r="A147" s="370" t="s">
        <v>366</v>
      </c>
    </row>
    <row r="148" spans="1:25" ht="24.75" hidden="1" outlineLevel="1" thickBot="1" x14ac:dyDescent="0.45">
      <c r="R148" s="280" t="s">
        <v>367</v>
      </c>
      <c r="S148" s="280"/>
      <c r="T148" s="280"/>
      <c r="U148" s="280"/>
      <c r="V148" s="280"/>
      <c r="W148" s="280"/>
      <c r="X148" s="280"/>
      <c r="Y148" s="280"/>
    </row>
    <row r="149" spans="1:25" ht="15.75" hidden="1" outlineLevel="1" thickTop="1" x14ac:dyDescent="0.25">
      <c r="R149" s="9" t="str">
        <f>"DCF ("&amp;SubHeader&amp;")"</f>
        <v>DCF (EUR)</v>
      </c>
    </row>
    <row r="150" spans="1:25" hidden="1" outlineLevel="1" x14ac:dyDescent="0.25"/>
    <row r="151" spans="1:25" ht="19.5" hidden="1" outlineLevel="1" x14ac:dyDescent="0.3">
      <c r="R151" s="2" t="s">
        <v>226</v>
      </c>
    </row>
    <row r="152" spans="1:25" hidden="1" outlineLevel="1" x14ac:dyDescent="0.25">
      <c r="R152" s="81" t="s">
        <v>368</v>
      </c>
      <c r="S152" s="89">
        <v>0.15</v>
      </c>
    </row>
    <row r="153" spans="1:25" hidden="1" outlineLevel="1" x14ac:dyDescent="0.25">
      <c r="R153" s="81" t="s">
        <v>369</v>
      </c>
      <c r="S153" s="239">
        <v>0.05</v>
      </c>
    </row>
    <row r="154" spans="1:25" ht="20.25" hidden="1" outlineLevel="1" thickBot="1" x14ac:dyDescent="0.35">
      <c r="R154" s="26"/>
    </row>
    <row r="155" spans="1:25" ht="21" hidden="1" outlineLevel="1" thickTop="1" thickBot="1" x14ac:dyDescent="0.35">
      <c r="R155" s="1" t="s">
        <v>370</v>
      </c>
    </row>
    <row r="156" spans="1:25" ht="15.75" hidden="1" outlineLevel="1" thickTop="1" x14ac:dyDescent="0.25">
      <c r="S156" s="545" t="s">
        <v>52</v>
      </c>
      <c r="T156" s="546"/>
      <c r="U156" s="546"/>
      <c r="V156" s="546"/>
      <c r="W156" s="546"/>
      <c r="X156" s="547"/>
    </row>
    <row r="157" spans="1:25" hidden="1" outlineLevel="1" x14ac:dyDescent="0.25">
      <c r="S157" s="28" t="s">
        <v>42</v>
      </c>
      <c r="T157" s="29" t="s">
        <v>43</v>
      </c>
      <c r="U157" s="29" t="s">
        <v>44</v>
      </c>
      <c r="V157" s="29" t="s">
        <v>45</v>
      </c>
      <c r="W157" s="29" t="s">
        <v>46</v>
      </c>
      <c r="X157" s="30" t="s">
        <v>47</v>
      </c>
    </row>
    <row r="158" spans="1:25" ht="15.75" hidden="1" outlineLevel="1" thickBot="1" x14ac:dyDescent="0.3">
      <c r="S158" s="44">
        <f>S136</f>
        <v>46023</v>
      </c>
      <c r="T158" s="44">
        <f t="shared" ref="T158:X158" si="77">T136</f>
        <v>46388</v>
      </c>
      <c r="U158" s="44">
        <f t="shared" si="77"/>
        <v>46753</v>
      </c>
      <c r="V158" s="44">
        <f t="shared" si="77"/>
        <v>47119</v>
      </c>
      <c r="W158" s="44">
        <f t="shared" si="77"/>
        <v>47484</v>
      </c>
      <c r="X158" s="44">
        <f t="shared" si="77"/>
        <v>47849</v>
      </c>
    </row>
    <row r="159" spans="1:25" ht="15.75" hidden="1" outlineLevel="1" thickTop="1" x14ac:dyDescent="0.25">
      <c r="R159" s="234"/>
      <c r="S159" s="235"/>
      <c r="T159" s="236"/>
      <c r="U159" s="236"/>
      <c r="V159" s="236"/>
      <c r="W159" s="236"/>
      <c r="X159" s="237"/>
    </row>
    <row r="160" spans="1:25" hidden="1" outlineLevel="1" x14ac:dyDescent="0.25">
      <c r="R160" s="81" t="s">
        <v>371</v>
      </c>
      <c r="S160" s="200">
        <f>S139</f>
        <v>-81625</v>
      </c>
      <c r="T160" s="200">
        <f t="shared" ref="T160:X160" si="78">T139</f>
        <v>-132463.54880860265</v>
      </c>
      <c r="U160" s="200">
        <f t="shared" si="78"/>
        <v>-112062.66900003306</v>
      </c>
      <c r="V160" s="200">
        <f t="shared" si="78"/>
        <v>324315.6514098323</v>
      </c>
      <c r="W160" s="200">
        <f t="shared" si="78"/>
        <v>1049328.8801241782</v>
      </c>
      <c r="X160" s="200">
        <f t="shared" si="78"/>
        <v>2463143.0153726004</v>
      </c>
    </row>
    <row r="161" spans="18:25" hidden="1" outlineLevel="1" x14ac:dyDescent="0.25">
      <c r="R161" s="81" t="s">
        <v>320</v>
      </c>
      <c r="S161" s="200">
        <f>S100</f>
        <v>0</v>
      </c>
      <c r="T161" s="200">
        <f t="shared" ref="T161:X161" si="79">T100</f>
        <v>0</v>
      </c>
      <c r="U161" s="200">
        <f t="shared" si="79"/>
        <v>0</v>
      </c>
      <c r="V161" s="200">
        <f t="shared" si="79"/>
        <v>-48647.347711474846</v>
      </c>
      <c r="W161" s="200">
        <f t="shared" si="79"/>
        <v>-157399.33201862674</v>
      </c>
      <c r="X161" s="200">
        <f t="shared" si="79"/>
        <v>-369471.45230589004</v>
      </c>
    </row>
    <row r="162" spans="18:25" hidden="1" outlineLevel="1" x14ac:dyDescent="0.25">
      <c r="R162" s="81" t="s">
        <v>355</v>
      </c>
      <c r="S162" s="200">
        <f>S94*-1</f>
        <v>0</v>
      </c>
      <c r="T162" s="200">
        <f t="shared" ref="T162:X162" si="80">T94*-1</f>
        <v>5800</v>
      </c>
      <c r="U162" s="200">
        <f t="shared" si="80"/>
        <v>5800</v>
      </c>
      <c r="V162" s="200">
        <f t="shared" si="80"/>
        <v>5800</v>
      </c>
      <c r="W162" s="200">
        <f t="shared" si="80"/>
        <v>5800</v>
      </c>
      <c r="X162" s="200">
        <f t="shared" si="80"/>
        <v>5800</v>
      </c>
    </row>
    <row r="163" spans="18:25" hidden="1" outlineLevel="1" x14ac:dyDescent="0.25">
      <c r="R163" s="81" t="s">
        <v>194</v>
      </c>
      <c r="S163" s="200">
        <f>Operations!T430</f>
        <v>0</v>
      </c>
      <c r="T163" s="200">
        <f>Operations!U430</f>
        <v>29000</v>
      </c>
      <c r="U163" s="200">
        <f>Operations!V430</f>
        <v>0</v>
      </c>
      <c r="V163" s="200">
        <f>Operations!W430</f>
        <v>0</v>
      </c>
      <c r="W163" s="200">
        <f>Operations!X430</f>
        <v>0</v>
      </c>
      <c r="X163" s="200">
        <f>Operations!Y430</f>
        <v>0</v>
      </c>
    </row>
    <row r="164" spans="18:25" ht="15.75" hidden="1" outlineLevel="1" thickBot="1" x14ac:dyDescent="0.3">
      <c r="R164" s="81" t="s">
        <v>241</v>
      </c>
      <c r="S164" s="200">
        <f>Statements!T18</f>
        <v>0</v>
      </c>
      <c r="T164" s="200">
        <f>Statements!U18</f>
        <v>-7085.943622843206</v>
      </c>
      <c r="U164" s="200">
        <f>Statements!V18</f>
        <v>-8203.155856607942</v>
      </c>
      <c r="V164" s="200">
        <f>Statements!W18</f>
        <v>-12121.342476982614</v>
      </c>
      <c r="W164" s="200">
        <f>Statements!X18</f>
        <v>-21727.769014639609</v>
      </c>
      <c r="X164" s="200">
        <f>Statements!Y18</f>
        <v>-38944.458350126653</v>
      </c>
    </row>
    <row r="165" spans="18:25" ht="16.5" hidden="1" outlineLevel="1" thickTop="1" thickBot="1" x14ac:dyDescent="0.3">
      <c r="R165" s="82" t="s">
        <v>372</v>
      </c>
      <c r="S165" s="202">
        <v>0</v>
      </c>
      <c r="T165" s="202">
        <v>0</v>
      </c>
      <c r="U165" s="202">
        <v>0</v>
      </c>
      <c r="V165" s="202">
        <v>0</v>
      </c>
      <c r="W165" s="202">
        <v>0</v>
      </c>
      <c r="X165" s="202">
        <v>0</v>
      </c>
      <c r="Y165" s="240" t="s">
        <v>373</v>
      </c>
    </row>
    <row r="166" spans="18:25" ht="15.75" hidden="1" outlineLevel="1" thickBot="1" x14ac:dyDescent="0.3">
      <c r="R166" s="102" t="s">
        <v>374</v>
      </c>
      <c r="S166" s="210">
        <f>S160+S161+S162-S163+S164+S165</f>
        <v>-81625</v>
      </c>
      <c r="T166" s="210">
        <f t="shared" ref="T166:X166" si="81">T160+T161+T162-T163+T164+T165</f>
        <v>-162749.49243144586</v>
      </c>
      <c r="U166" s="210">
        <f>U160+U161+U162-U163+U164+U165</f>
        <v>-114465.824856641</v>
      </c>
      <c r="V166" s="210">
        <f t="shared" si="81"/>
        <v>269346.9612213748</v>
      </c>
      <c r="W166" s="210">
        <f t="shared" si="81"/>
        <v>876001.77909091185</v>
      </c>
      <c r="X166" s="210">
        <f t="shared" si="81"/>
        <v>2060527.1047165836</v>
      </c>
      <c r="Y166" s="241">
        <f>X166*(1+S153)/(S152-S153)</f>
        <v>21635534.599524133</v>
      </c>
    </row>
    <row r="167" spans="18:25" hidden="1" outlineLevel="1" x14ac:dyDescent="0.25">
      <c r="R167" s="238"/>
    </row>
    <row r="168" spans="18:25" hidden="1" outlineLevel="1" x14ac:dyDescent="0.25">
      <c r="R168" s="242" t="s">
        <v>375</v>
      </c>
      <c r="S168" s="243">
        <f>1/POWER(1+$S$152,1)</f>
        <v>0.86956521739130443</v>
      </c>
      <c r="T168" s="243">
        <f>1/POWER(1+$S$152,2)</f>
        <v>0.7561436672967865</v>
      </c>
      <c r="U168" s="243">
        <f>1/POWER(1+$S$152,3)</f>
        <v>0.65751623243198831</v>
      </c>
      <c r="V168" s="243">
        <f>1/POWER(1+$S$152,4)</f>
        <v>0.57175324559303342</v>
      </c>
      <c r="W168" s="243">
        <f>1/POWER(1+$S$152,5)</f>
        <v>0.49717673529828987</v>
      </c>
      <c r="X168" s="243">
        <f>1/POWER(1+$S$152,6)</f>
        <v>0.43232759591155645</v>
      </c>
      <c r="Y168" s="243">
        <f>1/POWER(1+$S$152,6)</f>
        <v>0.43232759591155645</v>
      </c>
    </row>
    <row r="169" spans="18:25" hidden="1" outlineLevel="1" x14ac:dyDescent="0.25"/>
    <row r="170" spans="18:25" hidden="1" outlineLevel="1" x14ac:dyDescent="0.25">
      <c r="R170" s="242" t="s">
        <v>376</v>
      </c>
      <c r="S170" s="200">
        <f>S166*S168</f>
        <v>-70978.260869565231</v>
      </c>
      <c r="T170" s="200">
        <f t="shared" ref="T170:Y170" si="82">T166*T168</f>
        <v>-123061.99805780407</v>
      </c>
      <c r="U170" s="200">
        <f t="shared" si="82"/>
        <v>-75263.137901958427</v>
      </c>
      <c r="V170" s="200">
        <f t="shared" si="82"/>
        <v>153999.99926894196</v>
      </c>
      <c r="W170" s="200">
        <f t="shared" si="82"/>
        <v>435527.70464391325</v>
      </c>
      <c r="X170" s="200">
        <f t="shared" si="82"/>
        <v>890822.72949272057</v>
      </c>
      <c r="Y170" s="200">
        <f t="shared" si="82"/>
        <v>9353638.6596735679</v>
      </c>
    </row>
    <row r="171" spans="18:25" hidden="1" outlineLevel="1" x14ac:dyDescent="0.25">
      <c r="T171" s="85"/>
    </row>
    <row r="172" spans="18:25" ht="19.5" hidden="1" outlineLevel="1" x14ac:dyDescent="0.3">
      <c r="R172" s="548" t="s">
        <v>377</v>
      </c>
      <c r="S172" s="548"/>
      <c r="T172" s="245" t="s">
        <v>378</v>
      </c>
    </row>
    <row r="173" spans="18:25" hidden="1" outlineLevel="1" x14ac:dyDescent="0.25">
      <c r="R173" s="142" t="s">
        <v>379</v>
      </c>
      <c r="S173" s="244">
        <f>SUM(S170:Y170)</f>
        <v>10564685.696249817</v>
      </c>
      <c r="T173" s="246">
        <f>S173/1000000</f>
        <v>10.564685696249816</v>
      </c>
    </row>
    <row r="174" spans="18:25" collapsed="1" x14ac:dyDescent="0.25"/>
  </sheetData>
  <mergeCells count="24">
    <mergeCell ref="S109:X109"/>
    <mergeCell ref="C110:F110"/>
    <mergeCell ref="G110:J110"/>
    <mergeCell ref="C8:J8"/>
    <mergeCell ref="L8:O8"/>
    <mergeCell ref="T8:Y8"/>
    <mergeCell ref="C9:F9"/>
    <mergeCell ref="G9:J9"/>
    <mergeCell ref="S156:X156"/>
    <mergeCell ref="R172:S172"/>
    <mergeCell ref="AD24:AI24"/>
    <mergeCell ref="C134:J134"/>
    <mergeCell ref="L134:O134"/>
    <mergeCell ref="S134:X134"/>
    <mergeCell ref="C135:F135"/>
    <mergeCell ref="G135:J135"/>
    <mergeCell ref="AD51:AI51"/>
    <mergeCell ref="C82:J82"/>
    <mergeCell ref="L82:O82"/>
    <mergeCell ref="S82:X82"/>
    <mergeCell ref="C83:F83"/>
    <mergeCell ref="G83:J83"/>
    <mergeCell ref="C109:J109"/>
    <mergeCell ref="L109:O109"/>
  </mergeCells>
  <conditionalFormatting sqref="C12:J12 L12:O12">
    <cfRule type="cellIs" dxfId="45" priority="52" operator="lessThan">
      <formula>0</formula>
    </cfRule>
  </conditionalFormatting>
  <conditionalFormatting sqref="C15:J20 L15:O20">
    <cfRule type="cellIs" dxfId="44" priority="49" operator="lessThan">
      <formula>0</formula>
    </cfRule>
  </conditionalFormatting>
  <conditionalFormatting sqref="C23:J25 L23:O25 C27:J28 L27:N28">
    <cfRule type="cellIs" dxfId="43" priority="47" operator="lessThan">
      <formula>0</formula>
    </cfRule>
  </conditionalFormatting>
  <conditionalFormatting sqref="C31:J34 L31:O34">
    <cfRule type="cellIs" dxfId="42" priority="48" operator="lessThan">
      <formula>0</formula>
    </cfRule>
  </conditionalFormatting>
  <conditionalFormatting sqref="C36:J36 L36:O36">
    <cfRule type="cellIs" dxfId="41" priority="54" operator="lessThan">
      <formula>0</formula>
    </cfRule>
  </conditionalFormatting>
  <conditionalFormatting sqref="C38:J38">
    <cfRule type="cellIs" dxfId="40" priority="8" operator="lessThan">
      <formula>0</formula>
    </cfRule>
  </conditionalFormatting>
  <conditionalFormatting sqref="C86:J89 L86:O89">
    <cfRule type="cellIs" dxfId="39" priority="35" operator="lessThan">
      <formula>0</formula>
    </cfRule>
  </conditionalFormatting>
  <conditionalFormatting sqref="C91:J95 L91:O95">
    <cfRule type="cellIs" dxfId="38" priority="34" operator="lessThan">
      <formula>0</formula>
    </cfRule>
  </conditionalFormatting>
  <conditionalFormatting sqref="C97:J101 L97:O101">
    <cfRule type="cellIs" dxfId="37" priority="33" operator="lessThan">
      <formula>0</formula>
    </cfRule>
  </conditionalFormatting>
  <conditionalFormatting sqref="C114:J119">
    <cfRule type="cellIs" dxfId="36" priority="14" operator="lessThan">
      <formula>0</formula>
    </cfRule>
  </conditionalFormatting>
  <conditionalFormatting sqref="C122:J124">
    <cfRule type="cellIs" dxfId="35" priority="12" operator="lessThan">
      <formula>0</formula>
    </cfRule>
  </conditionalFormatting>
  <conditionalFormatting sqref="C125:J125 L125:O125">
    <cfRule type="cellIs" dxfId="34" priority="26" operator="greaterThan">
      <formula>0</formula>
    </cfRule>
    <cfRule type="cellIs" dxfId="33" priority="27" operator="lessThan">
      <formula>0</formula>
    </cfRule>
    <cfRule type="cellIs" dxfId="32" priority="28" operator="lessThan">
      <formula>0</formula>
    </cfRule>
  </conditionalFormatting>
  <conditionalFormatting sqref="C126:J126 L126:O126">
    <cfRule type="cellIs" dxfId="31" priority="18" operator="lessThan">
      <formula>0</formula>
    </cfRule>
  </conditionalFormatting>
  <conditionalFormatting sqref="C137:J141 L137:O141">
    <cfRule type="cellIs" dxfId="30" priority="10" operator="lessThan">
      <formula>0</formula>
    </cfRule>
  </conditionalFormatting>
  <conditionalFormatting sqref="C127:O127">
    <cfRule type="cellIs" dxfId="29" priority="29" operator="lessThan">
      <formula>0</formula>
    </cfRule>
  </conditionalFormatting>
  <conditionalFormatting sqref="L38:O38">
    <cfRule type="cellIs" dxfId="28" priority="7" operator="lessThan">
      <formula>0</formula>
    </cfRule>
  </conditionalFormatting>
  <conditionalFormatting sqref="L114:O119">
    <cfRule type="cellIs" dxfId="27" priority="13" operator="lessThan">
      <formula>0</formula>
    </cfRule>
  </conditionalFormatting>
  <conditionalFormatting sqref="L122:O124">
    <cfRule type="cellIs" dxfId="26" priority="11" operator="lessThan">
      <formula>0</formula>
    </cfRule>
  </conditionalFormatting>
  <conditionalFormatting sqref="S86:X89">
    <cfRule type="cellIs" dxfId="25" priority="32" operator="lessThan">
      <formula>0</formula>
    </cfRule>
  </conditionalFormatting>
  <conditionalFormatting sqref="S91:X95">
    <cfRule type="cellIs" dxfId="24" priority="31" operator="lessThan">
      <formula>0</formula>
    </cfRule>
  </conditionalFormatting>
  <conditionalFormatting sqref="S97:X101">
    <cfRule type="cellIs" dxfId="23" priority="30" operator="lessThan">
      <formula>0</formula>
    </cfRule>
  </conditionalFormatting>
  <conditionalFormatting sqref="S114:X119">
    <cfRule type="cellIs" dxfId="22" priority="20" operator="lessThan">
      <formula>0</formula>
    </cfRule>
  </conditionalFormatting>
  <conditionalFormatting sqref="S122:X124">
    <cfRule type="cellIs" dxfId="21" priority="19" operator="lessThan">
      <formula>0</formula>
    </cfRule>
  </conditionalFormatting>
  <conditionalFormatting sqref="S125:X125">
    <cfRule type="cellIs" dxfId="20" priority="23" operator="lessThan">
      <formula>0</formula>
    </cfRule>
    <cfRule type="cellIs" dxfId="19" priority="21" operator="greaterThan">
      <formula>0</formula>
    </cfRule>
    <cfRule type="cellIs" dxfId="18" priority="22" operator="lessThan">
      <formula>0</formula>
    </cfRule>
  </conditionalFormatting>
  <conditionalFormatting sqref="S126:X127">
    <cfRule type="cellIs" dxfId="17" priority="17" operator="lessThan">
      <formula>0</formula>
    </cfRule>
  </conditionalFormatting>
  <conditionalFormatting sqref="S137:X141">
    <cfRule type="cellIs" dxfId="16" priority="9" operator="lessThan">
      <formula>0</formula>
    </cfRule>
  </conditionalFormatting>
  <conditionalFormatting sqref="S160:X165">
    <cfRule type="cellIs" dxfId="15" priority="5" operator="lessThan">
      <formula>0</formula>
    </cfRule>
  </conditionalFormatting>
  <conditionalFormatting sqref="S166:Y166">
    <cfRule type="cellIs" dxfId="14" priority="4" operator="lessThan">
      <formula>0</formula>
    </cfRule>
  </conditionalFormatting>
  <conditionalFormatting sqref="S170:Y170">
    <cfRule type="cellIs" dxfId="13" priority="3" operator="lessThan">
      <formula>0</formula>
    </cfRule>
  </conditionalFormatting>
  <conditionalFormatting sqref="T12:Y12">
    <cfRule type="cellIs" dxfId="12" priority="44" operator="lessThan">
      <formula>0</formula>
    </cfRule>
  </conditionalFormatting>
  <conditionalFormatting sqref="T15:Y20">
    <cfRule type="cellIs" dxfId="11" priority="41" operator="lessThan">
      <formula>0</formula>
    </cfRule>
  </conditionalFormatting>
  <conditionalFormatting sqref="T23:Y25">
    <cfRule type="cellIs" dxfId="10" priority="39" operator="lessThan">
      <formula>0</formula>
    </cfRule>
  </conditionalFormatting>
  <conditionalFormatting sqref="T27:Y28">
    <cfRule type="cellIs" dxfId="9" priority="38" operator="lessThan">
      <formula>0</formula>
    </cfRule>
  </conditionalFormatting>
  <conditionalFormatting sqref="T31:Y34">
    <cfRule type="cellIs" dxfId="8" priority="40" operator="lessThan">
      <formula>0</formula>
    </cfRule>
  </conditionalFormatting>
  <conditionalFormatting sqref="T36:Y36">
    <cfRule type="cellIs" dxfId="7" priority="46" operator="lessThan">
      <formula>0</formula>
    </cfRule>
  </conditionalFormatting>
  <conditionalFormatting sqref="T38:Y38">
    <cfRule type="cellIs" dxfId="6" priority="6" operator="lessThan">
      <formula>0</formula>
    </cfRule>
  </conditionalFormatting>
  <conditionalFormatting sqref="AD27:AI28">
    <cfRule type="cellIs" dxfId="5" priority="37" operator="lessThan">
      <formula>0</formula>
    </cfRule>
  </conditionalFormatting>
  <conditionalFormatting sqref="AD54:AI55">
    <cfRule type="cellIs" dxfId="4" priority="36" operator="lessThan">
      <formula>0</formula>
    </cfRule>
  </conditionalFormatting>
  <pageMargins left="0.7" right="0.7" top="0.75" bottom="0.75" header="0.3" footer="0.3"/>
  <pageSetup orientation="portrait" r:id="rId1"/>
  <ignoredErrors>
    <ignoredError sqref="T24:U24"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475A8-AC0F-4C49-A9E2-32D2D177A0CE}">
  <sheetPr>
    <tabColor theme="8" tint="0.59999389629810485"/>
  </sheetPr>
  <dimension ref="A1:R68"/>
  <sheetViews>
    <sheetView zoomScaleNormal="100" workbookViewId="0">
      <selection activeCell="A33" sqref="A33"/>
    </sheetView>
  </sheetViews>
  <sheetFormatPr defaultRowHeight="15" outlineLevelRow="1" x14ac:dyDescent="0.25"/>
  <cols>
    <col min="1" max="1" width="52.85546875" customWidth="1"/>
    <col min="2" max="2" width="49.28515625" customWidth="1"/>
    <col min="3" max="3" width="18.140625" customWidth="1"/>
    <col min="4" max="4" width="19.140625" customWidth="1"/>
    <col min="5" max="5" width="15.28515625" customWidth="1"/>
    <col min="6" max="6" width="17.5703125" customWidth="1"/>
    <col min="7" max="8" width="19.42578125" customWidth="1"/>
    <col min="9" max="9" width="17.42578125" customWidth="1"/>
    <col min="10" max="10" width="9.85546875" customWidth="1"/>
    <col min="15" max="15" width="9.5703125" bestFit="1" customWidth="1"/>
  </cols>
  <sheetData>
    <row r="1" spans="1:10" ht="21" x14ac:dyDescent="0.35">
      <c r="A1" s="357" t="s">
        <v>380</v>
      </c>
    </row>
    <row r="2" spans="1:10" ht="15.75" x14ac:dyDescent="0.25">
      <c r="A2" s="251" t="s">
        <v>381</v>
      </c>
    </row>
    <row r="3" spans="1:10" ht="24" hidden="1" outlineLevel="1" x14ac:dyDescent="0.4">
      <c r="B3" s="388" t="s">
        <v>382</v>
      </c>
      <c r="C3" s="388"/>
      <c r="D3" s="388"/>
      <c r="E3" s="388"/>
      <c r="F3" s="388"/>
      <c r="G3" s="388"/>
      <c r="H3" s="395"/>
      <c r="I3" s="395"/>
      <c r="J3" s="395"/>
    </row>
    <row r="4" spans="1:10" hidden="1" outlineLevel="1" x14ac:dyDescent="0.25">
      <c r="B4" s="389" t="s">
        <v>383</v>
      </c>
      <c r="C4" s="389"/>
      <c r="D4" s="389"/>
      <c r="E4" s="389" t="s">
        <v>384</v>
      </c>
      <c r="F4" s="389"/>
      <c r="G4" s="389"/>
      <c r="H4" s="278"/>
      <c r="I4" s="278"/>
      <c r="J4" s="278"/>
    </row>
    <row r="5" spans="1:10" hidden="1" outlineLevel="1" x14ac:dyDescent="0.25">
      <c r="B5" s="389" t="s">
        <v>385</v>
      </c>
      <c r="C5" s="389"/>
      <c r="D5" s="389"/>
      <c r="E5" s="389"/>
      <c r="F5" s="389"/>
      <c r="G5" s="389"/>
      <c r="H5" s="278"/>
      <c r="I5" s="278"/>
      <c r="J5" s="278"/>
    </row>
    <row r="6" spans="1:10" ht="30" hidden="1" outlineLevel="1" x14ac:dyDescent="0.25">
      <c r="B6" s="390" t="s">
        <v>386</v>
      </c>
      <c r="C6" s="391" t="s">
        <v>387</v>
      </c>
      <c r="D6" s="392" t="s">
        <v>388</v>
      </c>
      <c r="E6" s="392" t="s">
        <v>389</v>
      </c>
      <c r="F6" s="392" t="s">
        <v>390</v>
      </c>
      <c r="G6" s="392" t="s">
        <v>391</v>
      </c>
      <c r="H6" s="392" t="s">
        <v>392</v>
      </c>
      <c r="I6" s="392" t="s">
        <v>393</v>
      </c>
      <c r="J6" s="396"/>
    </row>
    <row r="7" spans="1:10" hidden="1" outlineLevel="1" x14ac:dyDescent="0.25">
      <c r="B7" s="376" t="s">
        <v>394</v>
      </c>
      <c r="C7" s="417">
        <f>163.53*1000</f>
        <v>163530</v>
      </c>
      <c r="D7" s="375">
        <v>14208</v>
      </c>
      <c r="E7" s="375">
        <v>6718</v>
      </c>
      <c r="F7" s="418">
        <f>IF(D7=0,0,C7/D7)</f>
        <v>11.509712837837839</v>
      </c>
      <c r="G7" s="418">
        <f>C7/E7</f>
        <v>24.342066091098541</v>
      </c>
      <c r="H7" s="418">
        <v>11.88</v>
      </c>
      <c r="I7" s="418">
        <v>25.9</v>
      </c>
      <c r="J7" s="397"/>
    </row>
    <row r="8" spans="1:10" hidden="1" outlineLevel="1" x14ac:dyDescent="0.25">
      <c r="B8" s="376" t="s">
        <v>395</v>
      </c>
      <c r="C8" s="375">
        <v>4640</v>
      </c>
      <c r="D8" s="375">
        <f>1155495*1000/1000000</f>
        <v>1155.4949999999999</v>
      </c>
      <c r="E8" s="375">
        <f>270581/1000</f>
        <v>270.58100000000002</v>
      </c>
      <c r="F8" s="418">
        <f t="shared" ref="F8:F11" si="0">IF(D8=0,0,C8/D8)</f>
        <v>4.015595048009728</v>
      </c>
      <c r="G8" s="418">
        <f t="shared" ref="G8:G11" si="1">C8/E8</f>
        <v>17.148284617175634</v>
      </c>
      <c r="H8" s="418">
        <v>4.04</v>
      </c>
      <c r="I8" s="418">
        <v>17.82</v>
      </c>
      <c r="J8" s="398"/>
    </row>
    <row r="9" spans="1:10" hidden="1" outlineLevel="1" x14ac:dyDescent="0.25">
      <c r="B9" s="376" t="s">
        <v>396</v>
      </c>
      <c r="C9" s="375">
        <f>215.85*1000</f>
        <v>215850</v>
      </c>
      <c r="D9" s="375">
        <f>10984000*1000/1000000</f>
        <v>10984</v>
      </c>
      <c r="E9" s="375">
        <f>2325000/1000</f>
        <v>2325</v>
      </c>
      <c r="F9" s="418">
        <f t="shared" si="0"/>
        <v>19.651310997815003</v>
      </c>
      <c r="G9" s="418">
        <f t="shared" si="1"/>
        <v>92.838709677419359</v>
      </c>
      <c r="H9" s="418">
        <v>20.63</v>
      </c>
      <c r="I9" s="418">
        <v>97.67</v>
      </c>
      <c r="J9" s="398"/>
    </row>
    <row r="10" spans="1:10" hidden="1" outlineLevel="1" x14ac:dyDescent="0.25">
      <c r="B10" s="377" t="s">
        <v>397</v>
      </c>
      <c r="C10" s="375">
        <f>277.31*1000</f>
        <v>277310</v>
      </c>
      <c r="D10" s="375">
        <v>34857</v>
      </c>
      <c r="E10" s="375">
        <v>11223</v>
      </c>
      <c r="F10" s="418">
        <f t="shared" si="0"/>
        <v>7.9556473592104888</v>
      </c>
      <c r="G10" s="418">
        <f t="shared" si="1"/>
        <v>24.709079568742759</v>
      </c>
      <c r="H10" s="419">
        <v>7.6</v>
      </c>
      <c r="I10" s="419">
        <v>26.28</v>
      </c>
      <c r="J10" s="399"/>
    </row>
    <row r="11" spans="1:10" hidden="1" outlineLevel="1" x14ac:dyDescent="0.25">
      <c r="B11" s="378" t="s">
        <v>398</v>
      </c>
      <c r="C11" s="375">
        <f>250.05*1000</f>
        <v>250050</v>
      </c>
      <c r="D11" s="375">
        <v>62753</v>
      </c>
      <c r="E11" s="375">
        <v>12317</v>
      </c>
      <c r="F11" s="418">
        <f t="shared" si="0"/>
        <v>3.9846700556148709</v>
      </c>
      <c r="G11" s="418">
        <f t="shared" si="1"/>
        <v>20.301209710156694</v>
      </c>
      <c r="H11" s="420">
        <v>4</v>
      </c>
      <c r="I11" s="420">
        <v>19.77</v>
      </c>
      <c r="J11" s="400"/>
    </row>
    <row r="12" spans="1:10" hidden="1" outlineLevel="1" x14ac:dyDescent="0.25">
      <c r="B12" s="377" t="s">
        <v>399</v>
      </c>
      <c r="C12" s="560"/>
      <c r="D12" s="561"/>
      <c r="E12" s="561"/>
      <c r="F12" s="561"/>
      <c r="G12" s="562"/>
      <c r="H12" s="401"/>
      <c r="I12" s="401"/>
      <c r="J12" s="402"/>
    </row>
    <row r="13" spans="1:10" hidden="1" outlineLevel="1" x14ac:dyDescent="0.25">
      <c r="B13" s="377" t="s">
        <v>400</v>
      </c>
      <c r="C13" s="393">
        <f t="shared" ref="C13:G13" si="2">AVERAGE(C7:C10)</f>
        <v>165332.5</v>
      </c>
      <c r="D13" s="393">
        <f t="shared" si="2"/>
        <v>15301.123749999999</v>
      </c>
      <c r="E13" s="394">
        <f t="shared" si="2"/>
        <v>5134.1452499999996</v>
      </c>
      <c r="F13" s="394">
        <f t="shared" si="2"/>
        <v>10.783066560718265</v>
      </c>
      <c r="G13" s="394">
        <f t="shared" si="2"/>
        <v>39.759534988609076</v>
      </c>
      <c r="H13" s="403"/>
      <c r="I13" s="403"/>
      <c r="J13" s="404"/>
    </row>
    <row r="14" spans="1:10" hidden="1" outlineLevel="1" x14ac:dyDescent="0.25">
      <c r="B14" s="377" t="s">
        <v>401</v>
      </c>
      <c r="C14" s="393">
        <f t="shared" ref="C14:G14" si="3">MEDIAN(C7:C10)</f>
        <v>189690</v>
      </c>
      <c r="D14" s="393">
        <f t="shared" si="3"/>
        <v>12596</v>
      </c>
      <c r="E14" s="394">
        <f t="shared" si="3"/>
        <v>4521.5</v>
      </c>
      <c r="F14" s="394">
        <f t="shared" si="3"/>
        <v>9.7326800985241633</v>
      </c>
      <c r="G14" s="394">
        <f t="shared" si="3"/>
        <v>24.525572829920648</v>
      </c>
      <c r="H14" s="403"/>
      <c r="I14" s="403"/>
      <c r="J14" s="404"/>
    </row>
    <row r="15" spans="1:10" hidden="1" outlineLevel="1" x14ac:dyDescent="0.25">
      <c r="B15" s="566"/>
      <c r="C15" s="566"/>
      <c r="D15" s="566"/>
      <c r="E15" s="566"/>
      <c r="F15" s="566"/>
      <c r="G15" s="566"/>
      <c r="H15" s="567"/>
      <c r="I15" s="567"/>
      <c r="J15" s="567"/>
    </row>
    <row r="16" spans="1:10" hidden="1" outlineLevel="1" x14ac:dyDescent="0.25">
      <c r="B16" s="279"/>
      <c r="C16" s="279"/>
      <c r="D16" s="279"/>
      <c r="E16" s="279"/>
      <c r="F16" s="279"/>
      <c r="G16" s="279"/>
      <c r="H16" s="279"/>
      <c r="I16" s="279"/>
      <c r="J16" s="279"/>
    </row>
    <row r="17" spans="1:18" ht="15.75" hidden="1" outlineLevel="1" x14ac:dyDescent="0.25">
      <c r="B17" s="416" t="s">
        <v>402</v>
      </c>
      <c r="C17" s="563" t="s">
        <v>403</v>
      </c>
      <c r="D17" s="563"/>
      <c r="E17" s="563"/>
      <c r="F17" s="563"/>
      <c r="G17" s="563"/>
      <c r="H17" s="563"/>
      <c r="I17" s="278"/>
      <c r="J17" s="278"/>
    </row>
    <row r="18" spans="1:18" ht="51.75" hidden="1" customHeight="1" outlineLevel="1" x14ac:dyDescent="0.25">
      <c r="B18" s="376" t="s">
        <v>394</v>
      </c>
      <c r="C18" s="564" t="s">
        <v>404</v>
      </c>
      <c r="D18" s="565"/>
      <c r="E18" s="565"/>
      <c r="F18" s="565"/>
      <c r="G18" s="565"/>
      <c r="H18" s="565"/>
      <c r="I18" s="414"/>
      <c r="J18" s="414"/>
    </row>
    <row r="19" spans="1:18" ht="53.25" hidden="1" customHeight="1" outlineLevel="1" x14ac:dyDescent="0.25">
      <c r="B19" s="376" t="s">
        <v>395</v>
      </c>
      <c r="C19" s="564" t="s">
        <v>405</v>
      </c>
      <c r="D19" s="565"/>
      <c r="E19" s="565"/>
      <c r="F19" s="565"/>
      <c r="G19" s="565"/>
      <c r="H19" s="565"/>
      <c r="I19" s="414"/>
      <c r="J19" s="414"/>
    </row>
    <row r="20" spans="1:18" ht="52.5" hidden="1" customHeight="1" outlineLevel="1" x14ac:dyDescent="0.25">
      <c r="B20" s="376" t="s">
        <v>396</v>
      </c>
      <c r="C20" s="564" t="s">
        <v>406</v>
      </c>
      <c r="D20" s="565"/>
      <c r="E20" s="565"/>
      <c r="F20" s="565"/>
      <c r="G20" s="565"/>
      <c r="H20" s="565"/>
      <c r="I20" s="414"/>
      <c r="J20" s="414"/>
    </row>
    <row r="21" spans="1:18" ht="54.75" hidden="1" customHeight="1" outlineLevel="1" x14ac:dyDescent="0.25">
      <c r="B21" s="377" t="s">
        <v>397</v>
      </c>
      <c r="C21" s="559" t="s">
        <v>407</v>
      </c>
      <c r="D21" s="559"/>
      <c r="E21" s="559"/>
      <c r="F21" s="559"/>
      <c r="G21" s="559"/>
      <c r="H21" s="559"/>
      <c r="I21" s="415"/>
      <c r="J21" s="415"/>
    </row>
    <row r="22" spans="1:18" ht="52.5" hidden="1" customHeight="1" outlineLevel="1" x14ac:dyDescent="0.25">
      <c r="B22" s="378" t="s">
        <v>398</v>
      </c>
      <c r="C22" s="559" t="s">
        <v>408</v>
      </c>
      <c r="D22" s="559"/>
      <c r="E22" s="559"/>
      <c r="F22" s="559"/>
      <c r="G22" s="559"/>
      <c r="H22" s="559"/>
      <c r="I22" s="279"/>
      <c r="J22" s="279"/>
    </row>
    <row r="23" spans="1:18" hidden="1" outlineLevel="1" x14ac:dyDescent="0.25">
      <c r="B23" s="279"/>
      <c r="C23" s="279"/>
      <c r="D23" s="279"/>
      <c r="E23" s="279"/>
      <c r="F23" s="279"/>
      <c r="G23" s="279"/>
      <c r="H23" s="279"/>
      <c r="I23" s="279"/>
      <c r="J23" s="279"/>
    </row>
    <row r="24" spans="1:18" hidden="1" outlineLevel="1" x14ac:dyDescent="0.25"/>
    <row r="25" spans="1:18" ht="15.75" collapsed="1" x14ac:dyDescent="0.25">
      <c r="A25" s="383" t="s">
        <v>409</v>
      </c>
    </row>
    <row r="26" spans="1:18" ht="24" hidden="1" customHeight="1" outlineLevel="1" x14ac:dyDescent="0.4">
      <c r="B26" s="550" t="s">
        <v>410</v>
      </c>
      <c r="C26" s="550"/>
      <c r="D26" s="550"/>
      <c r="E26" s="550"/>
      <c r="F26" s="550"/>
      <c r="G26" s="550"/>
      <c r="H26" s="550"/>
    </row>
    <row r="27" spans="1:18" ht="15.75" hidden="1" outlineLevel="1" x14ac:dyDescent="0.25">
      <c r="B27" s="248"/>
      <c r="C27" s="249"/>
      <c r="D27" s="249"/>
      <c r="E27" s="249"/>
      <c r="F27" s="249"/>
      <c r="G27" s="249"/>
    </row>
    <row r="28" spans="1:18" ht="15.75" hidden="1" outlineLevel="1" x14ac:dyDescent="0.25">
      <c r="B28" s="88" t="s">
        <v>279</v>
      </c>
      <c r="C28" s="405">
        <f>H49</f>
        <v>47849</v>
      </c>
      <c r="D28" s="260"/>
      <c r="E28" s="81"/>
      <c r="F28" s="380"/>
      <c r="G28" s="81" t="s">
        <v>411</v>
      </c>
      <c r="H28" s="380">
        <f>IF($E$29="EV/Revenue",MAX($F$7:$F$11),MAX($G$7:$G$11))</f>
        <v>92.838709677419359</v>
      </c>
    </row>
    <row r="29" spans="1:18" ht="15.75" hidden="1" outlineLevel="1" x14ac:dyDescent="0.25">
      <c r="B29" s="249" t="s">
        <v>412</v>
      </c>
      <c r="C29" s="409">
        <f>H50</f>
        <v>3369227.748104698</v>
      </c>
      <c r="D29" s="249" t="s">
        <v>413</v>
      </c>
      <c r="E29" s="384" t="s">
        <v>391</v>
      </c>
      <c r="G29" s="81" t="s">
        <v>414</v>
      </c>
      <c r="H29" s="380">
        <f>IF($E$29="EV/Revenue",
    _xlfn.MINIFS($F$7:$F$11,$F$7:$F$11,"&gt;0"),
    _xlfn.MINIFS($G$7:$G$11,$G$7:$G$11,"&gt;0")
)</f>
        <v>17.148284617175634</v>
      </c>
      <c r="R29" s="254">
        <v>0.3</v>
      </c>
    </row>
    <row r="30" spans="1:18" ht="15.75" hidden="1" outlineLevel="1" x14ac:dyDescent="0.25">
      <c r="B30" s="249" t="s">
        <v>415</v>
      </c>
      <c r="C30" s="410">
        <f>H32</f>
        <v>24.525572829920648</v>
      </c>
      <c r="D30" s="249" t="s">
        <v>416</v>
      </c>
      <c r="E30" s="384" t="s">
        <v>417</v>
      </c>
      <c r="F30" s="380"/>
      <c r="G30" s="81" t="s">
        <v>418</v>
      </c>
      <c r="H30" s="380">
        <f>IF($E$29="EV/Revenue",$F$13,$G$13)</f>
        <v>39.759534988609076</v>
      </c>
      <c r="R30" s="254">
        <v>0.32</v>
      </c>
    </row>
    <row r="31" spans="1:18" ht="15.75" hidden="1" outlineLevel="1" x14ac:dyDescent="0.25">
      <c r="B31" s="249" t="s">
        <v>419</v>
      </c>
      <c r="C31" s="413">
        <v>0.12</v>
      </c>
      <c r="D31" s="410"/>
      <c r="E31" s="81"/>
      <c r="F31" s="380"/>
      <c r="G31" s="81" t="s">
        <v>417</v>
      </c>
      <c r="H31" s="380">
        <f>IF($E$29="EV/Revenue",$F$14,$G$14)</f>
        <v>24.525572829920648</v>
      </c>
      <c r="R31" s="254">
        <v>0.34</v>
      </c>
    </row>
    <row r="32" spans="1:18" ht="15.75" hidden="1" outlineLevel="1" x14ac:dyDescent="0.25">
      <c r="B32" s="249"/>
      <c r="C32" s="411"/>
      <c r="E32" s="247"/>
      <c r="F32" s="412"/>
      <c r="G32" s="381" t="s">
        <v>420</v>
      </c>
      <c r="H32" s="382">
        <f>IFERROR(VLOOKUP(E30, G28:H31, 2, FALSE), "Not Found")</f>
        <v>24.525572829920648</v>
      </c>
      <c r="R32" s="254">
        <v>0.36</v>
      </c>
    </row>
    <row r="33" spans="1:18" ht="15.75" hidden="1" outlineLevel="1" x14ac:dyDescent="0.25">
      <c r="B33" s="549" t="s">
        <v>421</v>
      </c>
      <c r="C33" s="549"/>
      <c r="D33" s="407"/>
      <c r="E33" s="407"/>
      <c r="F33" s="407"/>
      <c r="G33" s="408"/>
      <c r="R33" s="254">
        <v>0.38</v>
      </c>
    </row>
    <row r="34" spans="1:18" ht="15.75" hidden="1" outlineLevel="1" x14ac:dyDescent="0.25">
      <c r="B34" s="250" t="s">
        <v>422</v>
      </c>
      <c r="C34" s="256">
        <f>C29*C30*0.7</f>
        <v>57842568.361711912</v>
      </c>
      <c r="D34" s="554" t="s">
        <v>423</v>
      </c>
      <c r="E34" s="554"/>
      <c r="F34" s="554"/>
      <c r="G34" s="554"/>
      <c r="H34" s="554"/>
      <c r="R34" s="254">
        <v>0.42</v>
      </c>
    </row>
    <row r="35" spans="1:18" ht="15.75" hidden="1" outlineLevel="1" x14ac:dyDescent="0.25">
      <c r="B35" s="262" t="s">
        <v>424</v>
      </c>
      <c r="C35" s="421">
        <f>C34*H54</f>
        <v>29304845.260869924</v>
      </c>
      <c r="D35" s="406"/>
      <c r="E35" s="406"/>
      <c r="F35" s="406"/>
      <c r="G35" s="406"/>
      <c r="R35" s="254">
        <v>0.44</v>
      </c>
    </row>
    <row r="36" spans="1:18" ht="15.75" hidden="1" outlineLevel="1" x14ac:dyDescent="0.25">
      <c r="B36" s="18"/>
      <c r="C36" s="406"/>
      <c r="D36" s="406"/>
      <c r="E36" s="406"/>
      <c r="F36" s="406"/>
      <c r="G36" s="406"/>
      <c r="R36" s="254"/>
    </row>
    <row r="37" spans="1:18" ht="24" hidden="1" outlineLevel="1" x14ac:dyDescent="0.4">
      <c r="B37" s="18"/>
      <c r="C37" s="551" t="s">
        <v>425</v>
      </c>
      <c r="D37" s="551"/>
      <c r="E37" s="551"/>
      <c r="F37" s="551"/>
      <c r="G37" s="551"/>
      <c r="R37" s="254"/>
    </row>
    <row r="38" spans="1:18" ht="15.75" hidden="1" outlineLevel="1" x14ac:dyDescent="0.25">
      <c r="B38" s="18"/>
      <c r="C38" s="259"/>
      <c r="D38" s="552" t="s">
        <v>426</v>
      </c>
      <c r="E38" s="553"/>
      <c r="F38" s="552" t="s">
        <v>427</v>
      </c>
      <c r="G38" s="553"/>
      <c r="R38" s="254"/>
    </row>
    <row r="39" spans="1:18" ht="45.75" hidden="1" customHeight="1" outlineLevel="1" x14ac:dyDescent="0.25">
      <c r="B39" s="18"/>
      <c r="C39" s="259"/>
      <c r="D39" s="387" t="s">
        <v>428</v>
      </c>
      <c r="E39" s="469" t="s">
        <v>429</v>
      </c>
      <c r="F39" s="387" t="s">
        <v>428</v>
      </c>
      <c r="G39" s="469" t="s">
        <v>430</v>
      </c>
      <c r="R39" s="254"/>
    </row>
    <row r="40" spans="1:18" ht="15.75" hidden="1" outlineLevel="1" x14ac:dyDescent="0.25">
      <c r="B40" s="18"/>
      <c r="C40" s="259" t="s">
        <v>411</v>
      </c>
      <c r="D40" s="259">
        <v>19.649999999999999</v>
      </c>
      <c r="E40" s="453">
        <f>$C$29*D40*0.7*$H$54</f>
        <v>23479174.711612925</v>
      </c>
      <c r="F40" s="259">
        <v>92.84</v>
      </c>
      <c r="G40" s="453">
        <f>$C$29*F40*0.7*$H$54</f>
        <v>110931632.58148319</v>
      </c>
      <c r="R40" s="254"/>
    </row>
    <row r="41" spans="1:18" ht="15.75" hidden="1" outlineLevel="1" x14ac:dyDescent="0.25">
      <c r="B41" s="18"/>
      <c r="C41" s="259" t="s">
        <v>414</v>
      </c>
      <c r="D41" s="259">
        <v>3.98</v>
      </c>
      <c r="E41" s="453">
        <f t="shared" ref="E41:E43" si="4">$C$29*D41*0.7*$H$54</f>
        <v>4755578.3894259259</v>
      </c>
      <c r="F41" s="259">
        <v>17.149999999999999</v>
      </c>
      <c r="G41" s="453">
        <f t="shared" ref="G41:G43" si="5">$C$29*F41*0.7*$H$54</f>
        <v>20492002.35644589</v>
      </c>
      <c r="R41" s="254"/>
    </row>
    <row r="42" spans="1:18" ht="15.75" hidden="1" outlineLevel="1" x14ac:dyDescent="0.25">
      <c r="B42" s="18"/>
      <c r="C42" s="259" t="s">
        <v>418</v>
      </c>
      <c r="D42" s="259">
        <v>10.78</v>
      </c>
      <c r="E42" s="453">
        <f t="shared" si="4"/>
        <v>12880687.195480272</v>
      </c>
      <c r="F42" s="259">
        <v>39.76</v>
      </c>
      <c r="G42" s="453">
        <f t="shared" si="5"/>
        <v>47507989.136576593</v>
      </c>
      <c r="R42" s="254"/>
    </row>
    <row r="43" spans="1:18" ht="15.75" hidden="1" outlineLevel="1" x14ac:dyDescent="0.25">
      <c r="B43" s="18"/>
      <c r="C43" s="259" t="s">
        <v>417</v>
      </c>
      <c r="D43" s="259">
        <v>9.73</v>
      </c>
      <c r="E43" s="453">
        <f t="shared" si="4"/>
        <v>11626074.806310119</v>
      </c>
      <c r="F43" s="259">
        <v>24.53</v>
      </c>
      <c r="G43" s="453">
        <f t="shared" si="5"/>
        <v>29310135.148898993</v>
      </c>
      <c r="R43" s="254"/>
    </row>
    <row r="44" spans="1:18" hidden="1" outlineLevel="1" x14ac:dyDescent="0.25"/>
    <row r="45" spans="1:18" ht="15.75" collapsed="1" x14ac:dyDescent="0.25">
      <c r="A45" s="369" t="s">
        <v>431</v>
      </c>
    </row>
    <row r="46" spans="1:18" ht="24" hidden="1" outlineLevel="1" x14ac:dyDescent="0.4">
      <c r="B46" s="550" t="s">
        <v>432</v>
      </c>
      <c r="C46" s="550"/>
      <c r="D46" s="550"/>
      <c r="E46" s="550"/>
      <c r="F46" s="550"/>
      <c r="G46" s="558"/>
      <c r="H46" s="252"/>
    </row>
    <row r="47" spans="1:18" ht="15.75" hidden="1" outlineLevel="1" x14ac:dyDescent="0.25">
      <c r="B47" s="259" t="s">
        <v>419</v>
      </c>
      <c r="C47" s="385">
        <v>0.12</v>
      </c>
      <c r="D47" s="253" t="s">
        <v>413</v>
      </c>
      <c r="E47" s="384" t="s">
        <v>390</v>
      </c>
      <c r="F47" s="253"/>
      <c r="G47" s="253" t="s">
        <v>416</v>
      </c>
      <c r="H47" s="384" t="s">
        <v>417</v>
      </c>
      <c r="I47" s="81" t="s">
        <v>411</v>
      </c>
      <c r="J47" s="380">
        <f>IF($E$47="EV/Revenue",MAX($F$7:$F$11),MAX($G$7:$G$11))</f>
        <v>19.651310997815003</v>
      </c>
      <c r="L47" s="254" t="s">
        <v>400</v>
      </c>
      <c r="M47" s="258">
        <f>J13</f>
        <v>0</v>
      </c>
      <c r="O47" s="87"/>
    </row>
    <row r="48" spans="1:18" ht="15.75" hidden="1" customHeight="1" outlineLevel="1" x14ac:dyDescent="0.25">
      <c r="B48" s="261"/>
      <c r="C48" s="555" t="s">
        <v>52</v>
      </c>
      <c r="D48" s="556"/>
      <c r="E48" s="556"/>
      <c r="F48" s="556"/>
      <c r="G48" s="556"/>
      <c r="H48" s="557"/>
      <c r="I48" s="81" t="s">
        <v>414</v>
      </c>
      <c r="J48" s="380">
        <f>IF($E$47="EV/Revenue",
    _xlfn.MINIFS($F$7:$F$11,$F$7:$F$11,"&gt;0"),
    _xlfn.MINIFS($G$7:$G$11,$G$7:$G$11,"&gt;0")
)</f>
        <v>3.9846700556148709</v>
      </c>
      <c r="K48" s="386"/>
      <c r="L48" s="106"/>
      <c r="M48" s="106"/>
      <c r="N48" s="106"/>
      <c r="O48" s="106"/>
    </row>
    <row r="49" spans="2:15" ht="15.75" hidden="1" outlineLevel="1" x14ac:dyDescent="0.25">
      <c r="B49" s="261"/>
      <c r="C49" s="255">
        <f>Statements!S158</f>
        <v>46023</v>
      </c>
      <c r="D49" s="255">
        <f>Statements!T158</f>
        <v>46388</v>
      </c>
      <c r="E49" s="255">
        <f>Statements!U158</f>
        <v>46753</v>
      </c>
      <c r="F49" s="255">
        <f>Statements!V158</f>
        <v>47119</v>
      </c>
      <c r="G49" s="255">
        <f>Statements!W158</f>
        <v>47484</v>
      </c>
      <c r="H49" s="379">
        <f>Statements!X158</f>
        <v>47849</v>
      </c>
      <c r="I49" s="81" t="s">
        <v>418</v>
      </c>
      <c r="J49" s="380">
        <f>IF($E$47="EV/Revenue",$F$13,$G$13)</f>
        <v>10.783066560718265</v>
      </c>
      <c r="M49" s="257"/>
      <c r="O49" s="87"/>
    </row>
    <row r="50" spans="2:15" ht="15.75" hidden="1" outlineLevel="1" x14ac:dyDescent="0.25">
      <c r="B50" s="259" t="s">
        <v>433</v>
      </c>
      <c r="C50" s="422">
        <f>Statements!T15</f>
        <v>0</v>
      </c>
      <c r="D50" s="422">
        <f>Statements!U15</f>
        <v>220649.57467698329</v>
      </c>
      <c r="E50" s="422">
        <f>Statements!V15</f>
        <v>581722.15225878195</v>
      </c>
      <c r="F50" s="422">
        <f>Statements!W15</f>
        <v>1044689.4071211424</v>
      </c>
      <c r="G50" s="422">
        <f>Statements!X15</f>
        <v>1876112.0805068123</v>
      </c>
      <c r="H50" s="423">
        <f>Statements!Y15</f>
        <v>3369227.748104698</v>
      </c>
      <c r="I50" s="81" t="s">
        <v>417</v>
      </c>
      <c r="J50" s="380">
        <f>IF($E$47="EV/Revenue",$F$14,$G$14)</f>
        <v>9.7326800985241633</v>
      </c>
      <c r="M50" s="257"/>
      <c r="O50" s="87"/>
    </row>
    <row r="51" spans="2:15" ht="15.75" hidden="1" outlineLevel="1" x14ac:dyDescent="0.25">
      <c r="B51" s="259" t="s">
        <v>342</v>
      </c>
      <c r="C51" s="422">
        <f>Statements!S138</f>
        <v>-81625</v>
      </c>
      <c r="D51" s="422">
        <f>Statements!T138</f>
        <v>-126663.54880860265</v>
      </c>
      <c r="E51" s="422">
        <f>Statements!U138</f>
        <v>-106262.66900003306</v>
      </c>
      <c r="F51" s="422">
        <f>Statements!V138</f>
        <v>330115.6514098323</v>
      </c>
      <c r="G51" s="422">
        <f>Statements!W138</f>
        <v>1055128.8801241782</v>
      </c>
      <c r="H51" s="422">
        <f>Statements!X138</f>
        <v>2468943.0153726004</v>
      </c>
      <c r="I51" s="381" t="s">
        <v>420</v>
      </c>
      <c r="J51" s="382">
        <f>IFERROR(VLOOKUP(H47, I47:J50, 2, FALSE), "Not Found")</f>
        <v>9.7326800985241633</v>
      </c>
      <c r="M51" s="257"/>
    </row>
    <row r="52" spans="2:15" ht="15.75" hidden="1" outlineLevel="1" x14ac:dyDescent="0.25">
      <c r="B52" s="259" t="s">
        <v>371</v>
      </c>
      <c r="C52" s="422">
        <f>Statements!S139</f>
        <v>-81625</v>
      </c>
      <c r="D52" s="422">
        <f>Statements!T139</f>
        <v>-132463.54880860265</v>
      </c>
      <c r="E52" s="422">
        <f>Statements!U139</f>
        <v>-112062.66900003306</v>
      </c>
      <c r="F52" s="422">
        <f>Statements!V139</f>
        <v>324315.6514098323</v>
      </c>
      <c r="G52" s="422">
        <f>Statements!W139</f>
        <v>1049328.8801241782</v>
      </c>
      <c r="H52" s="422">
        <f>Statements!X139</f>
        <v>2463143.0153726004</v>
      </c>
      <c r="M52" s="257"/>
    </row>
    <row r="53" spans="2:15" ht="15.75" hidden="1" outlineLevel="1" x14ac:dyDescent="0.25">
      <c r="B53" s="259" t="s">
        <v>374</v>
      </c>
      <c r="C53" s="422">
        <f>Statements!S166</f>
        <v>-81625</v>
      </c>
      <c r="D53" s="422">
        <f>Statements!T166</f>
        <v>-162749.49243144586</v>
      </c>
      <c r="E53" s="422">
        <f>Statements!U166</f>
        <v>-114465.824856641</v>
      </c>
      <c r="F53" s="422">
        <f>Statements!V166</f>
        <v>269346.9612213748</v>
      </c>
      <c r="G53" s="422">
        <f>Statements!W166</f>
        <v>876001.77909091185</v>
      </c>
      <c r="H53" s="422">
        <f>Statements!X166</f>
        <v>2060527.1047165836</v>
      </c>
      <c r="M53" s="257">
        <v>0.03</v>
      </c>
    </row>
    <row r="54" spans="2:15" ht="15.75" hidden="1" outlineLevel="1" x14ac:dyDescent="0.25">
      <c r="B54" s="259" t="s">
        <v>434</v>
      </c>
      <c r="C54" s="424">
        <f>1/(1+$C$47)^1</f>
        <v>0.89285714285714279</v>
      </c>
      <c r="D54" s="424">
        <f>1/(1+$C$47)^2</f>
        <v>0.79719387755102034</v>
      </c>
      <c r="E54" s="424">
        <f>1/(1+$C$47)^3</f>
        <v>0.71178024781341087</v>
      </c>
      <c r="F54" s="424">
        <f>1/(1+$C$47)^4</f>
        <v>0.63551807840483121</v>
      </c>
      <c r="G54" s="424">
        <f>1/(1+$C$47)^5</f>
        <v>0.56742685571859919</v>
      </c>
      <c r="H54" s="424">
        <f>1/(1+$C$47)^6</f>
        <v>0.50663112117732068</v>
      </c>
      <c r="M54" s="257">
        <v>0.04</v>
      </c>
    </row>
    <row r="55" spans="2:15" ht="15.75" hidden="1" outlineLevel="1" x14ac:dyDescent="0.25">
      <c r="B55" s="259" t="s">
        <v>435</v>
      </c>
      <c r="C55" s="425">
        <f>C53*C54</f>
        <v>-72879.464285714275</v>
      </c>
      <c r="D55" s="425">
        <f t="shared" ref="D55:H55" si="6">D53*D54</f>
        <v>-129742.89894088477</v>
      </c>
      <c r="E55" s="425">
        <f t="shared" si="6"/>
        <v>-81474.513182626426</v>
      </c>
      <c r="F55" s="425">
        <f t="shared" si="6"/>
        <v>171174.8632195887</v>
      </c>
      <c r="G55" s="425">
        <f t="shared" si="6"/>
        <v>497066.93511345505</v>
      </c>
      <c r="H55" s="425">
        <f t="shared" si="6"/>
        <v>1043927.1572788212</v>
      </c>
      <c r="M55" s="257">
        <v>0.05</v>
      </c>
    </row>
    <row r="56" spans="2:15" ht="15.75" hidden="1" outlineLevel="1" x14ac:dyDescent="0.25">
      <c r="B56" s="259" t="s">
        <v>436</v>
      </c>
      <c r="C56" s="426">
        <f>H50*J51*0.7</f>
        <v>22954131.095961783</v>
      </c>
      <c r="D56" s="554" t="s">
        <v>423</v>
      </c>
      <c r="E56" s="554"/>
      <c r="F56" s="554"/>
      <c r="G56" s="554"/>
      <c r="H56" s="554"/>
      <c r="M56" s="257">
        <v>0.01</v>
      </c>
    </row>
    <row r="57" spans="2:15" ht="15.75" hidden="1" outlineLevel="1" x14ac:dyDescent="0.25">
      <c r="B57" s="259" t="s">
        <v>437</v>
      </c>
      <c r="C57" s="426">
        <f>C56*H54</f>
        <v>11629277.172798319</v>
      </c>
      <c r="D57" s="428"/>
      <c r="E57" s="428"/>
      <c r="F57" s="428"/>
      <c r="G57" s="428"/>
      <c r="H57" s="428"/>
      <c r="M57" s="257"/>
    </row>
    <row r="58" spans="2:15" ht="15.75" hidden="1" outlineLevel="1" x14ac:dyDescent="0.25">
      <c r="B58" s="262" t="s">
        <v>424</v>
      </c>
      <c r="C58" s="427">
        <f>SUM(C55:H55)+C57</f>
        <v>13057349.252000958</v>
      </c>
      <c r="D58" s="428"/>
      <c r="E58" s="428"/>
      <c r="F58" s="428"/>
      <c r="G58" s="428"/>
      <c r="H58" s="428"/>
      <c r="M58" s="257"/>
    </row>
    <row r="59" spans="2:15" ht="15.75" hidden="1" outlineLevel="1" x14ac:dyDescent="0.25">
      <c r="M59" s="257">
        <v>0.12</v>
      </c>
    </row>
    <row r="60" spans="2:15" ht="15.75" hidden="1" outlineLevel="1" x14ac:dyDescent="0.25">
      <c r="M60" s="253"/>
    </row>
    <row r="61" spans="2:15" ht="24" hidden="1" customHeight="1" outlineLevel="1" x14ac:dyDescent="0.4">
      <c r="C61" s="551" t="s">
        <v>438</v>
      </c>
      <c r="D61" s="551"/>
      <c r="E61" s="551"/>
      <c r="F61" s="551"/>
      <c r="G61" s="551"/>
    </row>
    <row r="62" spans="2:15" ht="15.75" hidden="1" outlineLevel="1" x14ac:dyDescent="0.25">
      <c r="C62" s="259"/>
      <c r="D62" s="552" t="s">
        <v>426</v>
      </c>
      <c r="E62" s="553"/>
      <c r="F62" s="552" t="s">
        <v>427</v>
      </c>
      <c r="G62" s="553"/>
    </row>
    <row r="63" spans="2:15" ht="47.25" hidden="1" outlineLevel="1" x14ac:dyDescent="0.25">
      <c r="C63" s="259"/>
      <c r="D63" s="387" t="s">
        <v>428</v>
      </c>
      <c r="E63" s="469" t="s">
        <v>429</v>
      </c>
      <c r="F63" s="387" t="s">
        <v>428</v>
      </c>
      <c r="G63" s="469" t="s">
        <v>430</v>
      </c>
    </row>
    <row r="64" spans="2:15" ht="15.75" hidden="1" outlineLevel="1" x14ac:dyDescent="0.25">
      <c r="C64" s="259" t="s">
        <v>411</v>
      </c>
      <c r="D64" s="259">
        <v>19.649999999999999</v>
      </c>
      <c r="E64" s="454">
        <f>SUM($C$55:$H$55)+$H$50*D64*0.7*$H$54</f>
        <v>24907246.790815566</v>
      </c>
      <c r="F64" s="259">
        <v>92.84</v>
      </c>
      <c r="G64" s="454">
        <f>SUM($C$55:$H$55)+$H$50*F64*0.7*$H$54</f>
        <v>112359704.66068582</v>
      </c>
    </row>
    <row r="65" spans="3:7" ht="15.75" hidden="1" outlineLevel="1" x14ac:dyDescent="0.25">
      <c r="C65" s="259" t="s">
        <v>414</v>
      </c>
      <c r="D65" s="259">
        <v>3.98</v>
      </c>
      <c r="E65" s="454">
        <f t="shared" ref="E65:E67" si="7">SUM($C$55:$H$55)+$H$50*D65*0.7*$H$54</f>
        <v>6183650.4686285648</v>
      </c>
      <c r="F65" s="259">
        <v>17.149999999999999</v>
      </c>
      <c r="G65" s="259">
        <v>21918025</v>
      </c>
    </row>
    <row r="66" spans="3:7" ht="15.75" hidden="1" outlineLevel="1" x14ac:dyDescent="0.25">
      <c r="C66" s="259" t="s">
        <v>418</v>
      </c>
      <c r="D66" s="259">
        <v>10.78</v>
      </c>
      <c r="E66" s="454">
        <f t="shared" si="7"/>
        <v>14308759.274682911</v>
      </c>
      <c r="F66" s="259">
        <v>39.76</v>
      </c>
      <c r="G66" s="259">
        <v>48935506</v>
      </c>
    </row>
    <row r="67" spans="3:7" ht="15.75" hidden="1" outlineLevel="1" x14ac:dyDescent="0.25">
      <c r="C67" s="259" t="s">
        <v>417</v>
      </c>
      <c r="D67" s="259">
        <v>9.73</v>
      </c>
      <c r="E67" s="454">
        <f t="shared" si="7"/>
        <v>13054146.885512758</v>
      </c>
      <c r="F67" s="259">
        <v>24.53</v>
      </c>
      <c r="G67" s="259">
        <v>30732917</v>
      </c>
    </row>
    <row r="68" spans="3:7" collapsed="1" x14ac:dyDescent="0.25"/>
  </sheetData>
  <mergeCells count="20">
    <mergeCell ref="C21:H21"/>
    <mergeCell ref="C22:H22"/>
    <mergeCell ref="C12:G12"/>
    <mergeCell ref="C17:H17"/>
    <mergeCell ref="C18:H18"/>
    <mergeCell ref="C19:H19"/>
    <mergeCell ref="C20:H20"/>
    <mergeCell ref="B15:J15"/>
    <mergeCell ref="D62:E62"/>
    <mergeCell ref="F62:G62"/>
    <mergeCell ref="C61:G61"/>
    <mergeCell ref="C48:H48"/>
    <mergeCell ref="B46:G46"/>
    <mergeCell ref="D56:H56"/>
    <mergeCell ref="B33:C33"/>
    <mergeCell ref="B26:H26"/>
    <mergeCell ref="C37:G37"/>
    <mergeCell ref="D38:E38"/>
    <mergeCell ref="F38:G38"/>
    <mergeCell ref="D34:H34"/>
  </mergeCells>
  <dataValidations count="2">
    <dataValidation type="list" allowBlank="1" showInputMessage="1" showErrorMessage="1" sqref="E47 E29" xr:uid="{D319E67D-14E5-45D1-BE12-D2B075B52D4C}">
      <formula1>$F$6:$G$6</formula1>
    </dataValidation>
    <dataValidation type="list" allowBlank="1" showInputMessage="1" showErrorMessage="1" sqref="H47 E30" xr:uid="{5851972E-D08A-42B5-A9F1-E1662728EA3D}">
      <formula1>$I$47:$I$50</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E48CA-4CC0-4CBC-B050-A2C62DBDE2CE}">
  <sheetPr>
    <tabColor theme="3" tint="9.9978637043366805E-2"/>
  </sheetPr>
  <dimension ref="A1:Y120"/>
  <sheetViews>
    <sheetView showGridLines="0" zoomScaleNormal="100" workbookViewId="0">
      <pane ySplit="2" topLeftCell="A19" activePane="bottomLeft" state="frozen"/>
      <selection activeCell="A3" sqref="A3"/>
      <selection pane="bottomLeft"/>
    </sheetView>
  </sheetViews>
  <sheetFormatPr defaultColWidth="11.42578125" defaultRowHeight="15" x14ac:dyDescent="0.25"/>
  <cols>
    <col min="1" max="1" width="5" style="264" customWidth="1"/>
    <col min="2" max="2" width="2.140625" style="264" customWidth="1"/>
    <col min="3" max="3" width="35.7109375" style="274" customWidth="1"/>
    <col min="4" max="9" width="14.28515625" style="274" customWidth="1"/>
    <col min="10" max="18" width="11.42578125" style="274"/>
    <col min="19" max="16384" width="11.42578125" style="264"/>
  </cols>
  <sheetData>
    <row r="1" spans="1:25" ht="20.25" customHeight="1" x14ac:dyDescent="0.35">
      <c r="A1" s="263"/>
      <c r="B1" s="263"/>
      <c r="C1" s="570" t="s">
        <v>439</v>
      </c>
      <c r="D1" s="568" t="s">
        <v>440</v>
      </c>
      <c r="E1" s="568" t="s">
        <v>441</v>
      </c>
      <c r="F1" s="568" t="s">
        <v>442</v>
      </c>
      <c r="G1" s="568" t="s">
        <v>258</v>
      </c>
      <c r="H1" s="568" t="s">
        <v>260</v>
      </c>
      <c r="I1" s="568" t="s">
        <v>262</v>
      </c>
      <c r="J1" s="281"/>
      <c r="K1" s="281"/>
      <c r="L1" s="281"/>
      <c r="M1" s="281"/>
      <c r="N1" s="281"/>
      <c r="O1" s="281"/>
      <c r="P1" s="281"/>
      <c r="Q1" s="281"/>
      <c r="R1" s="281"/>
      <c r="S1" s="281"/>
      <c r="T1" s="281"/>
      <c r="U1" s="281"/>
      <c r="V1" s="281"/>
      <c r="W1" s="281"/>
      <c r="X1" s="281"/>
      <c r="Y1" s="263"/>
    </row>
    <row r="2" spans="1:25" ht="22.5" customHeight="1" thickBot="1" x14ac:dyDescent="0.4">
      <c r="A2" s="265"/>
      <c r="B2" s="265"/>
      <c r="C2" s="571"/>
      <c r="D2" s="572"/>
      <c r="E2" s="572"/>
      <c r="F2" s="572"/>
      <c r="G2" s="569"/>
      <c r="H2" s="569"/>
      <c r="I2" s="569"/>
      <c r="J2" s="282"/>
      <c r="K2" s="282"/>
      <c r="L2" s="282"/>
      <c r="M2" s="282"/>
      <c r="N2" s="282"/>
      <c r="O2" s="282"/>
      <c r="P2" s="282"/>
      <c r="Q2" s="282"/>
      <c r="R2" s="282"/>
      <c r="S2" s="282"/>
      <c r="T2" s="282"/>
      <c r="U2" s="282"/>
      <c r="V2" s="282"/>
      <c r="W2" s="282"/>
      <c r="X2" s="282"/>
      <c r="Y2" s="265"/>
    </row>
    <row r="3" spans="1:25" ht="22.5" customHeight="1" x14ac:dyDescent="0.25">
      <c r="A3" s="266"/>
      <c r="B3" s="266"/>
      <c r="C3" s="266"/>
      <c r="D3" s="263"/>
      <c r="E3" s="266"/>
      <c r="F3" s="266"/>
      <c r="G3" s="263"/>
      <c r="H3" s="266"/>
      <c r="I3" s="266"/>
      <c r="J3" s="266"/>
      <c r="K3" s="266"/>
      <c r="L3" s="266"/>
      <c r="M3" s="266"/>
      <c r="N3" s="266"/>
      <c r="O3" s="266"/>
      <c r="P3" s="266"/>
      <c r="Q3" s="266"/>
      <c r="R3" s="263"/>
    </row>
    <row r="4" spans="1:25" ht="21" customHeight="1" x14ac:dyDescent="0.25">
      <c r="A4" s="267">
        <v>1</v>
      </c>
      <c r="B4" s="268"/>
      <c r="C4" s="283" t="s">
        <v>279</v>
      </c>
      <c r="D4" s="268"/>
      <c r="E4" s="268"/>
      <c r="F4" s="268"/>
      <c r="G4" s="268"/>
      <c r="H4" s="268"/>
      <c r="I4" s="268"/>
      <c r="J4" s="263"/>
      <c r="K4" s="263"/>
      <c r="L4" s="263"/>
      <c r="M4" s="263"/>
      <c r="N4" s="263"/>
      <c r="O4" s="263"/>
      <c r="P4" s="263"/>
      <c r="Q4" s="263"/>
      <c r="R4" s="263"/>
    </row>
    <row r="5" spans="1:25" ht="18.75" x14ac:dyDescent="0.3">
      <c r="A5" s="263"/>
      <c r="B5" s="263"/>
      <c r="C5" s="323"/>
      <c r="D5" s="323"/>
      <c r="E5" s="323" t="s">
        <v>441</v>
      </c>
      <c r="F5" s="323" t="s">
        <v>442</v>
      </c>
      <c r="G5" s="323" t="s">
        <v>258</v>
      </c>
      <c r="H5" s="323" t="s">
        <v>260</v>
      </c>
      <c r="I5" s="323" t="s">
        <v>262</v>
      </c>
      <c r="J5" s="269"/>
      <c r="K5" s="269"/>
      <c r="L5" s="269"/>
      <c r="M5" s="269"/>
      <c r="N5" s="269"/>
      <c r="O5" s="269"/>
      <c r="P5" s="269"/>
      <c r="Q5" s="269"/>
      <c r="R5" s="269"/>
    </row>
    <row r="6" spans="1:25" ht="18" customHeight="1" x14ac:dyDescent="0.25">
      <c r="A6" s="266"/>
      <c r="B6" s="266"/>
      <c r="C6" s="461" t="s">
        <v>443</v>
      </c>
      <c r="D6" s="299"/>
      <c r="E6" s="300">
        <f>Operations!E552</f>
        <v>46023</v>
      </c>
      <c r="F6" s="300">
        <f>Operations!E553</f>
        <v>46388</v>
      </c>
      <c r="G6" s="300">
        <f>Operations!E554</f>
        <v>46753</v>
      </c>
      <c r="H6" s="300">
        <f>Operations!E555</f>
        <v>47119</v>
      </c>
      <c r="I6" s="300">
        <f>Operations!E556</f>
        <v>47484</v>
      </c>
      <c r="K6" s="269"/>
      <c r="L6" s="269"/>
      <c r="M6" s="269"/>
      <c r="N6" s="269"/>
      <c r="O6" s="269"/>
      <c r="P6" s="269"/>
      <c r="Q6" s="269"/>
      <c r="R6" s="269"/>
    </row>
    <row r="7" spans="1:25" ht="18" customHeight="1" x14ac:dyDescent="0.25">
      <c r="A7" s="266"/>
      <c r="B7" s="266"/>
      <c r="C7" s="461" t="s">
        <v>444</v>
      </c>
      <c r="D7" s="309">
        <v>0</v>
      </c>
      <c r="E7" s="309">
        <v>0</v>
      </c>
      <c r="F7" s="309">
        <v>0</v>
      </c>
      <c r="G7" s="309">
        <v>0</v>
      </c>
      <c r="H7" s="309">
        <v>0</v>
      </c>
      <c r="I7" s="309">
        <v>0</v>
      </c>
      <c r="K7" s="269"/>
      <c r="L7" s="269"/>
      <c r="M7" s="269"/>
      <c r="N7" s="269"/>
      <c r="O7" s="269"/>
      <c r="P7" s="269"/>
      <c r="Q7" s="269"/>
      <c r="R7" s="269"/>
    </row>
    <row r="8" spans="1:25" ht="18" customHeight="1" x14ac:dyDescent="0.25">
      <c r="A8" s="266"/>
      <c r="B8" s="266"/>
      <c r="C8" s="298" t="s">
        <v>445</v>
      </c>
      <c r="D8" s="308"/>
      <c r="E8" s="326">
        <f>IF(Operations!F552&gt;0,Operations!F552,E9/D23)</f>
        <v>1.0111111111111113</v>
      </c>
      <c r="F8" s="326">
        <f>IF(Operations!F553&gt;0,Operations!F553,F9/E23)</f>
        <v>2.0020000000000002</v>
      </c>
      <c r="G8" s="326">
        <f>IF(Operations!F554&gt;0,Operations!F554,G9/F23)</f>
        <v>7</v>
      </c>
      <c r="H8" s="326">
        <f>IF(Operations!F555&gt;0,Operations!F555,H9/G23)</f>
        <v>14</v>
      </c>
      <c r="I8" s="326">
        <f>IF(Operations!F556&gt;0,Operations!F556,I9/H23)</f>
        <v>20</v>
      </c>
      <c r="K8" s="269"/>
      <c r="L8" s="269"/>
      <c r="M8" s="269"/>
      <c r="N8" s="269"/>
      <c r="O8" s="269"/>
      <c r="P8" s="269"/>
      <c r="Q8" s="269"/>
      <c r="R8" s="269"/>
    </row>
    <row r="9" spans="1:25" ht="18" customHeight="1" x14ac:dyDescent="0.25">
      <c r="A9" s="266"/>
      <c r="B9" s="266"/>
      <c r="C9" s="328" t="s">
        <v>446</v>
      </c>
      <c r="D9" s="324"/>
      <c r="E9" s="301">
        <f>E12-E10</f>
        <v>1011111.1111111112</v>
      </c>
      <c r="F9" s="301">
        <f t="shared" ref="F9:I9" si="0">F12-F10</f>
        <v>2200000</v>
      </c>
      <c r="G9" s="301">
        <f t="shared" si="0"/>
        <v>8741258.7412587404</v>
      </c>
      <c r="H9" s="301">
        <f t="shared" si="0"/>
        <v>18282517.482517481</v>
      </c>
      <c r="I9" s="301">
        <f t="shared" si="0"/>
        <v>26403596.403596401</v>
      </c>
      <c r="K9" s="269"/>
      <c r="L9" s="269"/>
      <c r="M9" s="269"/>
      <c r="N9" s="269"/>
      <c r="O9" s="269"/>
      <c r="P9" s="269"/>
      <c r="Q9" s="269"/>
      <c r="R9" s="269"/>
    </row>
    <row r="10" spans="1:25" ht="18" customHeight="1" x14ac:dyDescent="0.25">
      <c r="A10" s="266"/>
      <c r="B10" s="266"/>
      <c r="C10" s="298" t="s">
        <v>447</v>
      </c>
      <c r="D10" s="302"/>
      <c r="E10" s="303">
        <f>Operations!D552</f>
        <v>100000</v>
      </c>
      <c r="F10" s="303">
        <f>Operations!D553</f>
        <v>300000</v>
      </c>
      <c r="G10" s="303">
        <f>Operations!D554</f>
        <v>400000</v>
      </c>
      <c r="H10" s="303">
        <f>Operations!D555</f>
        <v>200000</v>
      </c>
      <c r="I10" s="303">
        <f>Operations!D556</f>
        <v>100000</v>
      </c>
      <c r="K10" s="269"/>
      <c r="L10" s="269"/>
      <c r="M10" s="269"/>
      <c r="N10" s="269"/>
      <c r="O10" s="269"/>
      <c r="P10" s="269"/>
      <c r="Q10" s="269"/>
      <c r="R10" s="269"/>
    </row>
    <row r="11" spans="1:25" ht="18" customHeight="1" x14ac:dyDescent="0.25">
      <c r="A11" s="266"/>
      <c r="B11" s="266"/>
      <c r="C11" s="298" t="s">
        <v>448</v>
      </c>
      <c r="D11" s="302"/>
      <c r="E11" s="315">
        <f>IF(Operations!G552&gt;0,Operations!G552,E54)</f>
        <v>0.09</v>
      </c>
      <c r="F11" s="315">
        <f>IF(Operations!G553&gt;0,Operations!G553,F55)</f>
        <v>0.12</v>
      </c>
      <c r="G11" s="315">
        <f>IF(Operations!G554&gt;0,Operations!G554,G56)</f>
        <v>4.3757649938800491E-2</v>
      </c>
      <c r="H11" s="315">
        <f>IF(Operations!G555&gt;0,Operations!G555,H57)</f>
        <v>1.0821036700718881E-2</v>
      </c>
      <c r="I11" s="315">
        <f>IF(Operations!G556&gt;0,Operations!G556,I58)</f>
        <v>3.7730728493296298E-3</v>
      </c>
      <c r="K11" s="269"/>
      <c r="L11" s="269"/>
      <c r="M11" s="269"/>
      <c r="N11" s="269"/>
      <c r="O11" s="269"/>
      <c r="P11" s="269"/>
      <c r="Q11" s="269"/>
      <c r="R11" s="269"/>
    </row>
    <row r="12" spans="1:25" ht="18" customHeight="1" x14ac:dyDescent="0.25">
      <c r="A12" s="266"/>
      <c r="B12" s="266"/>
      <c r="C12" s="328" t="s">
        <v>449</v>
      </c>
      <c r="D12" s="303"/>
      <c r="E12" s="301">
        <f>IF(E11&gt;0,E10/E11,0)</f>
        <v>1111111.1111111112</v>
      </c>
      <c r="F12" s="301">
        <f t="shared" ref="F12:I12" si="1">IF(F11&gt;0,F10/F11,0)</f>
        <v>2500000</v>
      </c>
      <c r="G12" s="301">
        <f t="shared" si="1"/>
        <v>9141258.7412587404</v>
      </c>
      <c r="H12" s="301">
        <f t="shared" si="1"/>
        <v>18482517.482517481</v>
      </c>
      <c r="I12" s="301">
        <f t="shared" si="1"/>
        <v>26503596.403596401</v>
      </c>
      <c r="K12" s="269"/>
      <c r="L12" s="269"/>
      <c r="M12" s="269"/>
      <c r="N12" s="269"/>
      <c r="O12" s="269"/>
      <c r="P12" s="269"/>
      <c r="Q12" s="269"/>
      <c r="R12" s="269"/>
    </row>
    <row r="13" spans="1:25" ht="18" customHeight="1" x14ac:dyDescent="0.25">
      <c r="A13" s="266"/>
      <c r="B13" s="266"/>
      <c r="C13" s="462" t="s">
        <v>450</v>
      </c>
      <c r="D13" s="463"/>
      <c r="E13" s="463">
        <f>IF(E8&gt;0,E10/E8,0)</f>
        <v>98901.098901098885</v>
      </c>
      <c r="F13" s="463">
        <f t="shared" ref="F13:I13" si="2">IF(F8&gt;0,F10/F8,0)</f>
        <v>149850.14985014984</v>
      </c>
      <c r="G13" s="463">
        <f t="shared" si="2"/>
        <v>57142.857142857145</v>
      </c>
      <c r="H13" s="463">
        <f t="shared" si="2"/>
        <v>14285.714285714286</v>
      </c>
      <c r="I13" s="463">
        <f t="shared" si="2"/>
        <v>5000</v>
      </c>
      <c r="K13" s="269"/>
      <c r="L13" s="269"/>
      <c r="M13" s="269"/>
      <c r="N13" s="269"/>
      <c r="O13" s="269"/>
      <c r="P13" s="269"/>
      <c r="Q13" s="269"/>
      <c r="R13" s="269"/>
    </row>
    <row r="14" spans="1:25" x14ac:dyDescent="0.25">
      <c r="A14" s="266"/>
      <c r="B14" s="266"/>
      <c r="C14" s="465" t="s">
        <v>451</v>
      </c>
      <c r="D14" s="466"/>
      <c r="E14" s="467">
        <v>0.9</v>
      </c>
      <c r="F14" s="467">
        <v>0.8</v>
      </c>
      <c r="G14" s="467">
        <v>0.7</v>
      </c>
      <c r="H14" s="467">
        <v>0.5</v>
      </c>
      <c r="I14" s="467">
        <v>0.1</v>
      </c>
      <c r="K14" s="269"/>
      <c r="L14" s="269"/>
      <c r="M14" s="269"/>
      <c r="N14" s="269"/>
      <c r="O14" s="269"/>
      <c r="P14" s="269"/>
      <c r="Q14" s="269"/>
      <c r="R14" s="269"/>
    </row>
    <row r="15" spans="1:25" ht="31.5" customHeight="1" x14ac:dyDescent="0.25">
      <c r="A15" s="266"/>
      <c r="B15" s="266"/>
      <c r="C15" s="470" t="s">
        <v>452</v>
      </c>
      <c r="D15" s="464"/>
      <c r="E15" s="468">
        <f>E14*E10</f>
        <v>90000</v>
      </c>
      <c r="F15" s="468">
        <f t="shared" ref="F15:I15" si="3">F14*F10</f>
        <v>240000</v>
      </c>
      <c r="G15" s="468">
        <f t="shared" si="3"/>
        <v>280000</v>
      </c>
      <c r="H15" s="468">
        <f t="shared" si="3"/>
        <v>100000</v>
      </c>
      <c r="I15" s="468">
        <f t="shared" si="3"/>
        <v>10000</v>
      </c>
      <c r="K15" s="269"/>
      <c r="L15" s="269"/>
      <c r="M15" s="269"/>
      <c r="N15" s="269"/>
      <c r="O15" s="269"/>
      <c r="P15" s="269"/>
      <c r="Q15" s="269"/>
      <c r="R15" s="269"/>
    </row>
    <row r="16" spans="1:25" ht="18" customHeight="1" x14ac:dyDescent="0.25">
      <c r="A16" s="266"/>
      <c r="B16" s="266"/>
      <c r="C16" s="319"/>
      <c r="D16" s="318"/>
      <c r="E16" s="320"/>
      <c r="F16" s="320"/>
      <c r="G16" s="320"/>
      <c r="H16" s="320"/>
      <c r="K16" s="269"/>
      <c r="L16" s="269"/>
      <c r="M16" s="269"/>
      <c r="N16" s="269"/>
      <c r="O16" s="269"/>
      <c r="P16" s="269"/>
      <c r="Q16" s="269"/>
      <c r="R16" s="269"/>
    </row>
    <row r="17" spans="1:18" ht="18" customHeight="1" x14ac:dyDescent="0.25">
      <c r="A17" s="263"/>
      <c r="B17" s="263"/>
      <c r="C17" s="319"/>
      <c r="D17" s="318"/>
      <c r="E17" s="321"/>
      <c r="F17" s="321"/>
      <c r="G17" s="321"/>
      <c r="H17" s="321"/>
      <c r="K17" s="269"/>
      <c r="L17" s="269"/>
      <c r="M17" s="269"/>
      <c r="N17" s="269"/>
      <c r="O17" s="269"/>
      <c r="P17" s="269"/>
      <c r="Q17" s="269"/>
      <c r="R17" s="269"/>
    </row>
    <row r="18" spans="1:18" ht="18" customHeight="1" x14ac:dyDescent="0.25">
      <c r="A18" s="266"/>
      <c r="B18" s="266"/>
      <c r="C18" s="319"/>
      <c r="D18" s="318"/>
      <c r="E18" s="322"/>
      <c r="F18" s="322"/>
      <c r="G18" s="322"/>
      <c r="H18" s="322"/>
      <c r="K18" s="269"/>
      <c r="L18" s="269"/>
      <c r="M18" s="269"/>
      <c r="N18" s="269"/>
      <c r="O18" s="269"/>
      <c r="P18" s="269"/>
      <c r="Q18" s="269"/>
      <c r="R18" s="269"/>
    </row>
    <row r="19" spans="1:18" x14ac:dyDescent="0.25">
      <c r="A19" s="266"/>
      <c r="B19" s="266"/>
      <c r="C19" s="269"/>
      <c r="D19" s="269"/>
      <c r="E19" s="269"/>
      <c r="F19" s="269"/>
      <c r="G19" s="269"/>
      <c r="H19" s="269"/>
      <c r="I19" s="269"/>
      <c r="J19" s="269"/>
      <c r="K19" s="269"/>
      <c r="L19" s="269"/>
      <c r="M19" s="269"/>
      <c r="N19" s="269"/>
      <c r="O19" s="269"/>
      <c r="P19" s="269"/>
      <c r="Q19" s="269"/>
      <c r="R19" s="269"/>
    </row>
    <row r="20" spans="1:18" x14ac:dyDescent="0.25">
      <c r="A20" s="266"/>
      <c r="B20" s="266"/>
      <c r="C20" s="269"/>
      <c r="D20" s="269"/>
      <c r="E20" s="270"/>
      <c r="F20" s="269"/>
      <c r="G20" s="269"/>
      <c r="H20" s="269"/>
      <c r="I20" s="269"/>
      <c r="J20" s="269"/>
      <c r="K20" s="269"/>
      <c r="L20" s="269"/>
      <c r="M20" s="269"/>
      <c r="N20" s="269"/>
      <c r="O20" s="269"/>
      <c r="P20" s="269"/>
      <c r="Q20" s="269"/>
      <c r="R20" s="269"/>
    </row>
    <row r="21" spans="1:18" ht="21" customHeight="1" x14ac:dyDescent="0.25">
      <c r="A21" s="267">
        <v>2</v>
      </c>
      <c r="B21" s="268"/>
      <c r="C21" s="283" t="s">
        <v>453</v>
      </c>
      <c r="D21" s="268"/>
      <c r="E21" s="268"/>
      <c r="F21" s="268"/>
      <c r="G21" s="268"/>
      <c r="H21" s="268"/>
      <c r="I21" s="268"/>
      <c r="J21" s="263"/>
      <c r="K21" s="263"/>
      <c r="L21" s="263"/>
      <c r="M21" s="263"/>
      <c r="N21" s="263"/>
      <c r="O21" s="263"/>
      <c r="P21" s="263"/>
      <c r="Q21" s="263"/>
      <c r="R21" s="263"/>
    </row>
    <row r="22" spans="1:18" x14ac:dyDescent="0.25">
      <c r="A22" s="263"/>
      <c r="B22" s="263"/>
      <c r="C22" s="269"/>
      <c r="D22" s="269"/>
      <c r="E22" s="269"/>
      <c r="F22" s="269"/>
      <c r="G22" s="269"/>
      <c r="H22" s="269"/>
      <c r="I22" s="269"/>
      <c r="J22" s="269"/>
      <c r="K22" s="269"/>
      <c r="L22" s="269"/>
      <c r="M22" s="269"/>
      <c r="N22" s="269"/>
      <c r="O22" s="269"/>
      <c r="P22" s="269"/>
      <c r="Q22" s="269"/>
      <c r="R22" s="269"/>
    </row>
    <row r="23" spans="1:18" ht="18" customHeight="1" x14ac:dyDescent="0.25">
      <c r="A23" s="266"/>
      <c r="B23" s="266"/>
      <c r="C23" s="311" t="s">
        <v>454</v>
      </c>
      <c r="D23" s="312">
        <f>D25+D32+D39</f>
        <v>1000000</v>
      </c>
      <c r="E23" s="312">
        <f t="shared" ref="E23:I23" si="4">E25+E32+E39</f>
        <v>1098901.0989010988</v>
      </c>
      <c r="F23" s="312">
        <f t="shared" si="4"/>
        <v>1248751.2487512487</v>
      </c>
      <c r="G23" s="312">
        <f t="shared" si="4"/>
        <v>1305894.105894106</v>
      </c>
      <c r="H23" s="312">
        <f t="shared" si="4"/>
        <v>1320179.8201798201</v>
      </c>
      <c r="I23" s="312">
        <f t="shared" si="4"/>
        <v>1325179.8201798201</v>
      </c>
      <c r="J23" s="269"/>
      <c r="K23" s="269"/>
      <c r="L23" s="269"/>
      <c r="M23" s="269"/>
      <c r="N23" s="269"/>
      <c r="O23" s="269"/>
      <c r="P23" s="269"/>
      <c r="Q23" s="269"/>
      <c r="R23" s="269"/>
    </row>
    <row r="24" spans="1:18" x14ac:dyDescent="0.25">
      <c r="A24" s="263"/>
      <c r="B24" s="263"/>
      <c r="C24" s="306"/>
      <c r="D24" s="307"/>
      <c r="E24" s="307"/>
      <c r="F24" s="307"/>
      <c r="G24" s="307"/>
      <c r="H24" s="307"/>
      <c r="I24" s="307"/>
      <c r="J24" s="269"/>
      <c r="K24" s="269"/>
      <c r="L24" s="269"/>
      <c r="M24" s="269"/>
      <c r="N24" s="269"/>
      <c r="O24" s="269"/>
      <c r="P24" s="269"/>
      <c r="Q24" s="269"/>
      <c r="R24" s="269"/>
    </row>
    <row r="25" spans="1:18" ht="18" customHeight="1" x14ac:dyDescent="0.25">
      <c r="A25" s="263"/>
      <c r="B25" s="263"/>
      <c r="C25" s="313" t="s">
        <v>455</v>
      </c>
      <c r="D25" s="313">
        <f>SUM(D26:D30)</f>
        <v>1000000</v>
      </c>
      <c r="E25" s="313">
        <f t="shared" ref="E25:I25" si="5">SUM(E26:E30)</f>
        <v>1000000</v>
      </c>
      <c r="F25" s="313">
        <f t="shared" si="5"/>
        <v>1000000</v>
      </c>
      <c r="G25" s="313">
        <f t="shared" si="5"/>
        <v>1000000</v>
      </c>
      <c r="H25" s="313">
        <f t="shared" si="5"/>
        <v>1000000</v>
      </c>
      <c r="I25" s="313">
        <f t="shared" si="5"/>
        <v>1000000</v>
      </c>
      <c r="J25" s="269"/>
      <c r="K25" s="269"/>
      <c r="L25" s="269"/>
      <c r="M25" s="269"/>
      <c r="N25" s="269"/>
      <c r="O25" s="269"/>
      <c r="P25" s="269"/>
      <c r="Q25" s="269"/>
      <c r="R25" s="269"/>
    </row>
    <row r="26" spans="1:18" ht="18" customHeight="1" x14ac:dyDescent="0.25">
      <c r="A26" s="263"/>
      <c r="B26" s="263"/>
      <c r="C26" s="309" t="s">
        <v>456</v>
      </c>
      <c r="D26" s="309">
        <v>200000</v>
      </c>
      <c r="E26" s="310">
        <f>D26</f>
        <v>200000</v>
      </c>
      <c r="F26" s="310">
        <f t="shared" ref="F26:I26" si="6">E26</f>
        <v>200000</v>
      </c>
      <c r="G26" s="310">
        <f t="shared" si="6"/>
        <v>200000</v>
      </c>
      <c r="H26" s="310">
        <f t="shared" si="6"/>
        <v>200000</v>
      </c>
      <c r="I26" s="310">
        <f t="shared" si="6"/>
        <v>200000</v>
      </c>
      <c r="J26" s="269"/>
      <c r="K26" s="269"/>
      <c r="L26" s="269"/>
      <c r="M26" s="269"/>
      <c r="N26" s="269"/>
      <c r="O26" s="269"/>
      <c r="P26" s="269"/>
      <c r="Q26" s="269"/>
      <c r="R26" s="269"/>
    </row>
    <row r="27" spans="1:18" ht="18" customHeight="1" x14ac:dyDescent="0.25">
      <c r="A27" s="263"/>
      <c r="B27" s="263"/>
      <c r="C27" s="309" t="s">
        <v>457</v>
      </c>
      <c r="D27" s="309">
        <v>200000</v>
      </c>
      <c r="E27" s="310">
        <f>D27</f>
        <v>200000</v>
      </c>
      <c r="F27" s="310">
        <f t="shared" ref="F27:I27" si="7">E27</f>
        <v>200000</v>
      </c>
      <c r="G27" s="310">
        <f t="shared" si="7"/>
        <v>200000</v>
      </c>
      <c r="H27" s="310">
        <f t="shared" si="7"/>
        <v>200000</v>
      </c>
      <c r="I27" s="310">
        <f t="shared" si="7"/>
        <v>200000</v>
      </c>
      <c r="J27" s="269"/>
      <c r="K27" s="269"/>
      <c r="L27" s="269"/>
      <c r="M27" s="269"/>
      <c r="N27" s="269"/>
      <c r="O27" s="269"/>
      <c r="P27" s="269"/>
      <c r="Q27" s="269"/>
      <c r="R27" s="269"/>
    </row>
    <row r="28" spans="1:18" ht="18" customHeight="1" x14ac:dyDescent="0.25">
      <c r="A28" s="263"/>
      <c r="B28" s="263"/>
      <c r="C28" s="309" t="s">
        <v>458</v>
      </c>
      <c r="D28" s="309">
        <v>200000</v>
      </c>
      <c r="E28" s="310">
        <f>D28</f>
        <v>200000</v>
      </c>
      <c r="F28" s="310">
        <f t="shared" ref="F28:I28" si="8">E28</f>
        <v>200000</v>
      </c>
      <c r="G28" s="310">
        <f t="shared" si="8"/>
        <v>200000</v>
      </c>
      <c r="H28" s="310">
        <f t="shared" si="8"/>
        <v>200000</v>
      </c>
      <c r="I28" s="310">
        <f t="shared" si="8"/>
        <v>200000</v>
      </c>
      <c r="J28" s="269"/>
      <c r="K28" s="269"/>
      <c r="L28" s="269"/>
      <c r="M28" s="269"/>
      <c r="N28" s="269"/>
      <c r="O28" s="269"/>
      <c r="P28" s="269"/>
      <c r="Q28" s="269"/>
      <c r="R28" s="269"/>
    </row>
    <row r="29" spans="1:18" ht="18" customHeight="1" x14ac:dyDescent="0.25">
      <c r="A29" s="263"/>
      <c r="B29" s="263"/>
      <c r="C29" s="309" t="s">
        <v>459</v>
      </c>
      <c r="D29" s="309">
        <v>200000</v>
      </c>
      <c r="E29" s="310">
        <f>D29</f>
        <v>200000</v>
      </c>
      <c r="F29" s="310">
        <f t="shared" ref="F29:I29" si="9">E29</f>
        <v>200000</v>
      </c>
      <c r="G29" s="310">
        <f t="shared" si="9"/>
        <v>200000</v>
      </c>
      <c r="H29" s="310">
        <f t="shared" si="9"/>
        <v>200000</v>
      </c>
      <c r="I29" s="310">
        <f t="shared" si="9"/>
        <v>200000</v>
      </c>
      <c r="J29" s="269"/>
      <c r="K29" s="269"/>
      <c r="L29" s="269"/>
      <c r="M29" s="269"/>
      <c r="N29" s="269"/>
      <c r="O29" s="269"/>
      <c r="P29" s="269"/>
      <c r="Q29" s="269"/>
      <c r="R29" s="269"/>
    </row>
    <row r="30" spans="1:18" ht="18" customHeight="1" x14ac:dyDescent="0.25">
      <c r="A30" s="263"/>
      <c r="B30" s="263"/>
      <c r="C30" s="309" t="s">
        <v>460</v>
      </c>
      <c r="D30" s="309">
        <v>200000</v>
      </c>
      <c r="E30" s="310">
        <f>D30</f>
        <v>200000</v>
      </c>
      <c r="F30" s="310">
        <f t="shared" ref="F30:I30" si="10">E30</f>
        <v>200000</v>
      </c>
      <c r="G30" s="310">
        <f t="shared" si="10"/>
        <v>200000</v>
      </c>
      <c r="H30" s="310">
        <f t="shared" si="10"/>
        <v>200000</v>
      </c>
      <c r="I30" s="310">
        <f t="shared" si="10"/>
        <v>200000</v>
      </c>
      <c r="J30" s="269"/>
      <c r="K30" s="269"/>
      <c r="L30" s="269"/>
      <c r="M30" s="269"/>
      <c r="N30" s="269"/>
      <c r="O30" s="269"/>
      <c r="P30" s="269"/>
      <c r="Q30" s="269"/>
      <c r="R30" s="269"/>
    </row>
    <row r="31" spans="1:18" x14ac:dyDescent="0.25">
      <c r="A31" s="263"/>
      <c r="B31" s="263"/>
      <c r="C31" s="269"/>
      <c r="D31" s="271"/>
      <c r="E31" s="271"/>
      <c r="F31" s="271"/>
      <c r="G31" s="271"/>
      <c r="H31" s="271"/>
      <c r="I31" s="271"/>
      <c r="J31" s="269"/>
      <c r="K31" s="269"/>
      <c r="L31" s="269"/>
      <c r="M31" s="269"/>
      <c r="N31" s="269"/>
      <c r="O31" s="269"/>
      <c r="P31" s="269"/>
      <c r="Q31" s="269"/>
      <c r="R31" s="269"/>
    </row>
    <row r="32" spans="1:18" ht="18" customHeight="1" x14ac:dyDescent="0.25">
      <c r="A32" s="263"/>
      <c r="B32" s="263"/>
      <c r="C32" s="313" t="s">
        <v>461</v>
      </c>
      <c r="D32" s="305">
        <f>SUM(D33:D37)</f>
        <v>0</v>
      </c>
      <c r="E32" s="305">
        <f t="shared" ref="E32:I32" si="11">SUM(E33:E37)</f>
        <v>98901.098901098885</v>
      </c>
      <c r="F32" s="305">
        <f t="shared" si="11"/>
        <v>248751.24875124873</v>
      </c>
      <c r="G32" s="305">
        <f t="shared" si="11"/>
        <v>305894.10589410586</v>
      </c>
      <c r="H32" s="305">
        <f t="shared" si="11"/>
        <v>320179.82017982012</v>
      </c>
      <c r="I32" s="305">
        <f t="shared" si="11"/>
        <v>325179.82017982012</v>
      </c>
      <c r="J32" s="269"/>
      <c r="K32" s="269"/>
      <c r="L32" s="269"/>
      <c r="M32" s="269"/>
      <c r="N32" s="269"/>
      <c r="O32" s="269"/>
      <c r="P32" s="269"/>
      <c r="Q32" s="269"/>
      <c r="R32" s="269"/>
    </row>
    <row r="33" spans="1:18" ht="18" customHeight="1" x14ac:dyDescent="0.25">
      <c r="A33" s="263"/>
      <c r="B33" s="263"/>
      <c r="C33" s="335" t="s">
        <v>462</v>
      </c>
      <c r="D33" s="336">
        <v>0</v>
      </c>
      <c r="E33" s="336">
        <f>E13</f>
        <v>98901.098901098885</v>
      </c>
      <c r="F33" s="336">
        <f>E33</f>
        <v>98901.098901098885</v>
      </c>
      <c r="G33" s="336">
        <f t="shared" ref="G33:I33" si="12">F33</f>
        <v>98901.098901098885</v>
      </c>
      <c r="H33" s="336">
        <f t="shared" si="12"/>
        <v>98901.098901098885</v>
      </c>
      <c r="I33" s="336">
        <f t="shared" si="12"/>
        <v>98901.098901098885</v>
      </c>
      <c r="J33" s="269"/>
      <c r="K33" s="269"/>
      <c r="L33" s="269"/>
      <c r="M33" s="269"/>
      <c r="N33" s="269"/>
      <c r="O33" s="269"/>
      <c r="P33" s="269"/>
      <c r="Q33" s="269"/>
      <c r="R33" s="269"/>
    </row>
    <row r="34" spans="1:18" ht="18" customHeight="1" x14ac:dyDescent="0.25">
      <c r="A34" s="263"/>
      <c r="B34" s="263"/>
      <c r="C34" s="335" t="s">
        <v>463</v>
      </c>
      <c r="D34" s="336">
        <v>0</v>
      </c>
      <c r="E34" s="336">
        <v>0</v>
      </c>
      <c r="F34" s="336">
        <f>F13</f>
        <v>149850.14985014984</v>
      </c>
      <c r="G34" s="336">
        <f>F34</f>
        <v>149850.14985014984</v>
      </c>
      <c r="H34" s="336">
        <f t="shared" ref="H34:I34" si="13">G34</f>
        <v>149850.14985014984</v>
      </c>
      <c r="I34" s="336">
        <f t="shared" si="13"/>
        <v>149850.14985014984</v>
      </c>
      <c r="J34" s="269"/>
      <c r="K34" s="269"/>
      <c r="L34" s="269"/>
      <c r="M34" s="269"/>
      <c r="N34" s="269"/>
      <c r="O34" s="269"/>
      <c r="P34" s="269"/>
      <c r="Q34" s="269"/>
      <c r="R34" s="269"/>
    </row>
    <row r="35" spans="1:18" ht="18" customHeight="1" x14ac:dyDescent="0.25">
      <c r="A35" s="263"/>
      <c r="B35" s="263"/>
      <c r="C35" s="335" t="s">
        <v>464</v>
      </c>
      <c r="D35" s="336">
        <v>0</v>
      </c>
      <c r="E35" s="336">
        <v>0</v>
      </c>
      <c r="F35" s="336">
        <v>0</v>
      </c>
      <c r="G35" s="336">
        <f>G13</f>
        <v>57142.857142857145</v>
      </c>
      <c r="H35" s="336">
        <f>G35</f>
        <v>57142.857142857145</v>
      </c>
      <c r="I35" s="336">
        <f>H35</f>
        <v>57142.857142857145</v>
      </c>
      <c r="J35" s="269"/>
      <c r="K35" s="269"/>
      <c r="L35" s="269"/>
      <c r="M35" s="269"/>
      <c r="N35" s="269"/>
      <c r="O35" s="269"/>
      <c r="P35" s="269"/>
      <c r="Q35" s="269"/>
      <c r="R35" s="269"/>
    </row>
    <row r="36" spans="1:18" ht="18" customHeight="1" x14ac:dyDescent="0.25">
      <c r="A36" s="263"/>
      <c r="B36" s="263"/>
      <c r="C36" s="335" t="s">
        <v>465</v>
      </c>
      <c r="D36" s="336">
        <v>0</v>
      </c>
      <c r="E36" s="336">
        <v>0</v>
      </c>
      <c r="F36" s="336">
        <v>0</v>
      </c>
      <c r="G36" s="336">
        <v>0</v>
      </c>
      <c r="H36" s="336">
        <f>H13</f>
        <v>14285.714285714286</v>
      </c>
      <c r="I36" s="336">
        <f>H36</f>
        <v>14285.714285714286</v>
      </c>
      <c r="J36" s="269"/>
      <c r="K36" s="269"/>
      <c r="L36" s="269"/>
      <c r="M36" s="269"/>
      <c r="N36" s="269"/>
      <c r="O36" s="269"/>
      <c r="P36" s="269"/>
      <c r="Q36" s="269"/>
      <c r="R36" s="269"/>
    </row>
    <row r="37" spans="1:18" ht="18" customHeight="1" x14ac:dyDescent="0.25">
      <c r="A37" s="263"/>
      <c r="B37" s="263"/>
      <c r="C37" s="335" t="s">
        <v>466</v>
      </c>
      <c r="D37" s="336">
        <v>0</v>
      </c>
      <c r="E37" s="336">
        <v>0</v>
      </c>
      <c r="F37" s="336">
        <v>0</v>
      </c>
      <c r="G37" s="336">
        <v>0</v>
      </c>
      <c r="H37" s="336">
        <v>0</v>
      </c>
      <c r="I37" s="336">
        <f>I13</f>
        <v>5000</v>
      </c>
      <c r="J37" s="269"/>
      <c r="K37" s="269"/>
      <c r="L37" s="269"/>
      <c r="M37" s="269"/>
      <c r="N37" s="269"/>
      <c r="O37" s="269"/>
      <c r="P37" s="269"/>
      <c r="Q37" s="269"/>
      <c r="R37" s="269"/>
    </row>
    <row r="38" spans="1:18" x14ac:dyDescent="0.25">
      <c r="A38" s="263"/>
      <c r="B38" s="263"/>
      <c r="C38" s="306"/>
      <c r="D38" s="307"/>
      <c r="E38" s="307"/>
      <c r="F38" s="307"/>
      <c r="G38" s="307"/>
      <c r="H38" s="307"/>
      <c r="I38" s="307"/>
      <c r="J38" s="269"/>
      <c r="K38" s="269"/>
      <c r="L38" s="269"/>
      <c r="M38" s="269"/>
      <c r="N38" s="269"/>
      <c r="O38" s="269"/>
      <c r="P38" s="269"/>
      <c r="Q38" s="269"/>
      <c r="R38" s="269"/>
    </row>
    <row r="39" spans="1:18" ht="18" customHeight="1" x14ac:dyDescent="0.25">
      <c r="A39" s="263"/>
      <c r="B39" s="263"/>
      <c r="C39" s="304" t="s">
        <v>467</v>
      </c>
      <c r="D39" s="316">
        <f>D7</f>
        <v>0</v>
      </c>
      <c r="E39" s="316">
        <f t="shared" ref="E39:I39" si="14">E7</f>
        <v>0</v>
      </c>
      <c r="F39" s="316">
        <f t="shared" si="14"/>
        <v>0</v>
      </c>
      <c r="G39" s="316">
        <f t="shared" si="14"/>
        <v>0</v>
      </c>
      <c r="H39" s="316">
        <f t="shared" si="14"/>
        <v>0</v>
      </c>
      <c r="I39" s="316">
        <f t="shared" si="14"/>
        <v>0</v>
      </c>
      <c r="J39" s="269"/>
      <c r="K39" s="269"/>
      <c r="L39" s="269"/>
      <c r="M39" s="269"/>
      <c r="N39" s="269"/>
      <c r="O39" s="269"/>
      <c r="P39" s="269"/>
      <c r="Q39" s="269"/>
    </row>
    <row r="40" spans="1:18" x14ac:dyDescent="0.25">
      <c r="A40" s="263"/>
      <c r="B40" s="263"/>
      <c r="C40" s="269"/>
      <c r="D40" s="271"/>
      <c r="E40" s="271"/>
      <c r="F40" s="271"/>
      <c r="G40" s="271"/>
      <c r="H40" s="271"/>
      <c r="I40" s="271"/>
      <c r="J40" s="269"/>
      <c r="K40" s="269"/>
      <c r="L40" s="269"/>
      <c r="M40" s="269"/>
      <c r="N40" s="269"/>
      <c r="O40" s="269"/>
      <c r="P40" s="269"/>
      <c r="Q40" s="269"/>
      <c r="R40" s="269"/>
    </row>
    <row r="41" spans="1:18" x14ac:dyDescent="0.25">
      <c r="A41" s="263"/>
      <c r="B41" s="263"/>
      <c r="C41" s="269"/>
      <c r="D41" s="269"/>
      <c r="E41" s="269"/>
      <c r="F41" s="269"/>
      <c r="G41" s="269"/>
      <c r="H41" s="269"/>
      <c r="I41" s="269"/>
      <c r="J41" s="269"/>
      <c r="K41" s="269"/>
      <c r="L41" s="269"/>
      <c r="M41" s="269"/>
      <c r="N41" s="269"/>
      <c r="O41" s="269"/>
      <c r="P41" s="269"/>
      <c r="Q41" s="269"/>
      <c r="R41" s="269"/>
    </row>
    <row r="42" spans="1:18" ht="21" customHeight="1" x14ac:dyDescent="0.25">
      <c r="A42" s="267">
        <v>3</v>
      </c>
      <c r="B42" s="268"/>
      <c r="C42" s="283" t="s">
        <v>468</v>
      </c>
      <c r="D42" s="268"/>
      <c r="E42" s="268"/>
      <c r="F42" s="268"/>
      <c r="G42" s="268"/>
      <c r="H42" s="268"/>
      <c r="I42" s="268"/>
      <c r="J42" s="263"/>
      <c r="K42" s="263"/>
      <c r="L42" s="263"/>
      <c r="M42" s="263"/>
      <c r="N42" s="263"/>
      <c r="O42" s="263"/>
      <c r="P42" s="263"/>
      <c r="Q42" s="263"/>
      <c r="R42" s="263"/>
    </row>
    <row r="43" spans="1:18" ht="15.75" thickBot="1" x14ac:dyDescent="0.3">
      <c r="A43" s="263"/>
      <c r="B43" s="263"/>
      <c r="C43" s="269"/>
      <c r="D43" s="269"/>
      <c r="E43" s="269"/>
      <c r="F43" s="269"/>
      <c r="G43" s="269"/>
      <c r="H43" s="269"/>
      <c r="I43" s="269"/>
      <c r="J43" s="269"/>
      <c r="K43" s="269"/>
      <c r="L43" s="269"/>
      <c r="M43" s="269"/>
      <c r="N43" s="269"/>
      <c r="O43" s="269"/>
      <c r="P43" s="269"/>
      <c r="Q43" s="269"/>
      <c r="R43" s="269"/>
    </row>
    <row r="44" spans="1:18" ht="18" customHeight="1" thickBot="1" x14ac:dyDescent="0.3">
      <c r="A44" s="263"/>
      <c r="B44" s="263"/>
      <c r="C44" s="337" t="s">
        <v>75</v>
      </c>
      <c r="D44" s="352">
        <f>D46+D53+D60</f>
        <v>1</v>
      </c>
      <c r="E44" s="352">
        <f t="shared" ref="E44:I44" si="15">E46+E53+E60</f>
        <v>1.0000000000000002</v>
      </c>
      <c r="F44" s="352">
        <f t="shared" si="15"/>
        <v>1</v>
      </c>
      <c r="G44" s="352">
        <f t="shared" si="15"/>
        <v>0.99999999999999978</v>
      </c>
      <c r="H44" s="352">
        <f t="shared" si="15"/>
        <v>1</v>
      </c>
      <c r="I44" s="353">
        <f t="shared" si="15"/>
        <v>1</v>
      </c>
      <c r="J44" s="269"/>
      <c r="K44" s="269"/>
      <c r="L44" s="269"/>
      <c r="M44" s="269"/>
      <c r="N44" s="269"/>
      <c r="O44" s="269"/>
      <c r="P44" s="269"/>
      <c r="Q44" s="269"/>
      <c r="R44" s="269"/>
    </row>
    <row r="45" spans="1:18" ht="15.75" thickBot="1" x14ac:dyDescent="0.3">
      <c r="A45" s="263"/>
      <c r="B45" s="263"/>
      <c r="C45" s="331"/>
      <c r="D45" s="332"/>
      <c r="E45" s="332"/>
      <c r="F45" s="332"/>
      <c r="G45" s="332"/>
      <c r="H45" s="332"/>
      <c r="I45" s="332"/>
      <c r="J45" s="269"/>
      <c r="K45" s="269"/>
      <c r="L45" s="269"/>
      <c r="M45" s="269"/>
      <c r="N45" s="269"/>
      <c r="O45" s="269"/>
      <c r="P45" s="269"/>
      <c r="Q45" s="269"/>
      <c r="R45" s="269"/>
    </row>
    <row r="46" spans="1:18" ht="18" customHeight="1" thickBot="1" x14ac:dyDescent="0.3">
      <c r="A46" s="263"/>
      <c r="B46" s="263"/>
      <c r="C46" s="337" t="s">
        <v>469</v>
      </c>
      <c r="D46" s="338">
        <f>SUM(D47:D51)</f>
        <v>1</v>
      </c>
      <c r="E46" s="338">
        <f t="shared" ref="E46:I46" si="16">SUM(E47:E51)</f>
        <v>0.91000000000000014</v>
      </c>
      <c r="F46" s="338">
        <f t="shared" si="16"/>
        <v>0.80079999999999996</v>
      </c>
      <c r="G46" s="338">
        <f t="shared" si="16"/>
        <v>0.76575887392900843</v>
      </c>
      <c r="H46" s="338">
        <f t="shared" si="16"/>
        <v>0.75747256905032168</v>
      </c>
      <c r="I46" s="339">
        <f t="shared" si="16"/>
        <v>0.7546145698659259</v>
      </c>
      <c r="J46" s="269"/>
      <c r="K46" s="269"/>
      <c r="L46" s="269"/>
      <c r="M46" s="269"/>
      <c r="N46" s="269"/>
      <c r="O46" s="269"/>
      <c r="P46" s="269"/>
      <c r="Q46" s="269"/>
      <c r="R46" s="269"/>
    </row>
    <row r="47" spans="1:18" ht="18" customHeight="1" x14ac:dyDescent="0.25">
      <c r="A47" s="263"/>
      <c r="B47" s="263"/>
      <c r="C47" s="340" t="s">
        <v>456</v>
      </c>
      <c r="D47" s="341">
        <f>D26/$D$23</f>
        <v>0.2</v>
      </c>
      <c r="E47" s="341">
        <f>E26/$E$23</f>
        <v>0.18200000000000002</v>
      </c>
      <c r="F47" s="341">
        <f>F26/$F$23</f>
        <v>0.16016</v>
      </c>
      <c r="G47" s="341">
        <f>G26/$G$23</f>
        <v>0.15315177478580169</v>
      </c>
      <c r="H47" s="341">
        <f>H26/$H$23</f>
        <v>0.15149451381006435</v>
      </c>
      <c r="I47" s="341">
        <f>I26/$I$23</f>
        <v>0.15092291397318519</v>
      </c>
      <c r="J47" s="269"/>
      <c r="K47" s="269"/>
      <c r="L47" s="269"/>
      <c r="M47" s="269"/>
      <c r="N47" s="269"/>
      <c r="O47" s="269"/>
      <c r="P47" s="269"/>
      <c r="Q47" s="269"/>
      <c r="R47" s="269"/>
    </row>
    <row r="48" spans="1:18" ht="18" customHeight="1" x14ac:dyDescent="0.25">
      <c r="A48" s="263"/>
      <c r="B48" s="263"/>
      <c r="C48" s="335" t="s">
        <v>457</v>
      </c>
      <c r="D48" s="342">
        <f t="shared" ref="D48:D51" si="17">D27/$D$23</f>
        <v>0.2</v>
      </c>
      <c r="E48" s="342">
        <f t="shared" ref="E48:E51" si="18">E27/$E$23</f>
        <v>0.18200000000000002</v>
      </c>
      <c r="F48" s="342">
        <f t="shared" ref="F48:F51" si="19">F27/$F$23</f>
        <v>0.16016</v>
      </c>
      <c r="G48" s="342">
        <f t="shared" ref="G48:G51" si="20">G27/$G$23</f>
        <v>0.15315177478580169</v>
      </c>
      <c r="H48" s="342">
        <f t="shared" ref="H48:H51" si="21">H27/$H$23</f>
        <v>0.15149451381006435</v>
      </c>
      <c r="I48" s="342">
        <f t="shared" ref="I48:I51" si="22">I27/$I$23</f>
        <v>0.15092291397318519</v>
      </c>
      <c r="J48" s="269"/>
      <c r="K48" s="269"/>
      <c r="L48" s="269"/>
      <c r="M48" s="269"/>
      <c r="N48" s="269"/>
      <c r="O48" s="269"/>
      <c r="P48" s="269"/>
      <c r="Q48" s="269"/>
      <c r="R48" s="269"/>
    </row>
    <row r="49" spans="1:18" ht="18" customHeight="1" x14ac:dyDescent="0.25">
      <c r="A49" s="263"/>
      <c r="B49" s="263"/>
      <c r="C49" s="335" t="s">
        <v>458</v>
      </c>
      <c r="D49" s="342">
        <f t="shared" si="17"/>
        <v>0.2</v>
      </c>
      <c r="E49" s="342">
        <f t="shared" si="18"/>
        <v>0.18200000000000002</v>
      </c>
      <c r="F49" s="342">
        <f t="shared" si="19"/>
        <v>0.16016</v>
      </c>
      <c r="G49" s="342">
        <f t="shared" si="20"/>
        <v>0.15315177478580169</v>
      </c>
      <c r="H49" s="342">
        <f t="shared" si="21"/>
        <v>0.15149451381006435</v>
      </c>
      <c r="I49" s="342">
        <f t="shared" si="22"/>
        <v>0.15092291397318519</v>
      </c>
      <c r="J49" s="269"/>
      <c r="K49" s="269"/>
      <c r="L49" s="269"/>
      <c r="M49" s="269"/>
      <c r="N49" s="269"/>
      <c r="O49" s="269"/>
      <c r="P49" s="269"/>
      <c r="Q49" s="269"/>
      <c r="R49" s="269"/>
    </row>
    <row r="50" spans="1:18" ht="18" customHeight="1" x14ac:dyDescent="0.25">
      <c r="A50" s="263"/>
      <c r="B50" s="263"/>
      <c r="C50" s="335" t="s">
        <v>459</v>
      </c>
      <c r="D50" s="342">
        <f t="shared" si="17"/>
        <v>0.2</v>
      </c>
      <c r="E50" s="342">
        <f t="shared" si="18"/>
        <v>0.18200000000000002</v>
      </c>
      <c r="F50" s="342">
        <f t="shared" si="19"/>
        <v>0.16016</v>
      </c>
      <c r="G50" s="342">
        <f t="shared" si="20"/>
        <v>0.15315177478580169</v>
      </c>
      <c r="H50" s="342">
        <f t="shared" si="21"/>
        <v>0.15149451381006435</v>
      </c>
      <c r="I50" s="342">
        <f t="shared" si="22"/>
        <v>0.15092291397318519</v>
      </c>
      <c r="J50" s="269"/>
      <c r="K50" s="269"/>
      <c r="L50" s="269"/>
      <c r="M50" s="269"/>
      <c r="N50" s="269"/>
      <c r="O50" s="269"/>
      <c r="P50" s="269"/>
      <c r="Q50" s="269"/>
      <c r="R50" s="269"/>
    </row>
    <row r="51" spans="1:18" ht="18" customHeight="1" x14ac:dyDescent="0.25">
      <c r="A51" s="263"/>
      <c r="B51" s="263"/>
      <c r="C51" s="335" t="s">
        <v>460</v>
      </c>
      <c r="D51" s="342">
        <f t="shared" si="17"/>
        <v>0.2</v>
      </c>
      <c r="E51" s="342">
        <f t="shared" si="18"/>
        <v>0.18200000000000002</v>
      </c>
      <c r="F51" s="342">
        <f t="shared" si="19"/>
        <v>0.16016</v>
      </c>
      <c r="G51" s="342">
        <f t="shared" si="20"/>
        <v>0.15315177478580169</v>
      </c>
      <c r="H51" s="342">
        <f t="shared" si="21"/>
        <v>0.15149451381006435</v>
      </c>
      <c r="I51" s="342">
        <f t="shared" si="22"/>
        <v>0.15092291397318519</v>
      </c>
      <c r="J51" s="269"/>
      <c r="K51" s="269"/>
      <c r="L51" s="269"/>
      <c r="M51" s="269"/>
      <c r="N51" s="269"/>
      <c r="O51" s="269"/>
      <c r="P51" s="269"/>
      <c r="Q51" s="269"/>
      <c r="R51" s="269"/>
    </row>
    <row r="52" spans="1:18" ht="15.75" thickBot="1" x14ac:dyDescent="0.3">
      <c r="A52" s="263"/>
      <c r="B52" s="263"/>
      <c r="C52" s="329"/>
      <c r="D52" s="330"/>
      <c r="E52" s="330"/>
      <c r="F52" s="330"/>
      <c r="G52" s="330"/>
      <c r="H52" s="330"/>
      <c r="I52" s="330"/>
      <c r="J52" s="269"/>
      <c r="K52" s="269"/>
      <c r="L52" s="269"/>
      <c r="M52" s="269"/>
      <c r="N52" s="269"/>
      <c r="O52" s="269"/>
      <c r="P52" s="269"/>
      <c r="Q52" s="269"/>
      <c r="R52" s="269"/>
    </row>
    <row r="53" spans="1:18" ht="18" customHeight="1" thickBot="1" x14ac:dyDescent="0.3">
      <c r="A53" s="263"/>
      <c r="B53" s="263"/>
      <c r="C53" s="337" t="s">
        <v>461</v>
      </c>
      <c r="D53" s="350">
        <f>SUM(D54:D58)</f>
        <v>0</v>
      </c>
      <c r="E53" s="350">
        <f t="shared" ref="E53:I53" si="23">SUM(E54:E58)</f>
        <v>0.09</v>
      </c>
      <c r="F53" s="350">
        <f t="shared" si="23"/>
        <v>0.19919999999999999</v>
      </c>
      <c r="G53" s="350">
        <f t="shared" si="23"/>
        <v>0.2342411260709914</v>
      </c>
      <c r="H53" s="350">
        <f t="shared" si="23"/>
        <v>0.24252743094967838</v>
      </c>
      <c r="I53" s="351">
        <f t="shared" si="23"/>
        <v>0.24538543013407413</v>
      </c>
      <c r="J53" s="269"/>
      <c r="K53" s="269"/>
      <c r="L53" s="269"/>
      <c r="M53" s="269"/>
      <c r="N53" s="269"/>
      <c r="O53" s="269"/>
      <c r="P53" s="269"/>
      <c r="Q53" s="269"/>
      <c r="R53" s="269"/>
    </row>
    <row r="54" spans="1:18" ht="18" customHeight="1" x14ac:dyDescent="0.25">
      <c r="A54" s="263"/>
      <c r="B54" s="263"/>
      <c r="C54" s="340" t="s">
        <v>462</v>
      </c>
      <c r="D54" s="343">
        <f>D33/$D$23</f>
        <v>0</v>
      </c>
      <c r="E54" s="343">
        <f>E33/$E$23</f>
        <v>0.09</v>
      </c>
      <c r="F54" s="343">
        <f>F33/$F$23</f>
        <v>7.9199999999999993E-2</v>
      </c>
      <c r="G54" s="343">
        <f>G33/$G$23</f>
        <v>7.573439412484699E-2</v>
      </c>
      <c r="H54" s="343">
        <f>H33/$H$23</f>
        <v>7.4914869466515321E-2</v>
      </c>
      <c r="I54" s="343">
        <f>I33/$I$23</f>
        <v>7.4632210206520139E-2</v>
      </c>
      <c r="J54" s="269"/>
      <c r="K54" s="269"/>
      <c r="L54" s="269"/>
      <c r="M54" s="269"/>
      <c r="N54" s="269"/>
      <c r="O54" s="269"/>
      <c r="P54" s="269"/>
      <c r="Q54" s="269"/>
      <c r="R54" s="269"/>
    </row>
    <row r="55" spans="1:18" ht="18" customHeight="1" x14ac:dyDescent="0.25">
      <c r="A55" s="263"/>
      <c r="B55" s="263"/>
      <c r="C55" s="335" t="s">
        <v>463</v>
      </c>
      <c r="D55" s="344">
        <f t="shared" ref="D55:D58" si="24">D34/$D$23</f>
        <v>0</v>
      </c>
      <c r="E55" s="344">
        <f t="shared" ref="E55:E58" si="25">E34/$E$23</f>
        <v>0</v>
      </c>
      <c r="F55" s="344">
        <f t="shared" ref="F55:F58" si="26">F34/$F$23</f>
        <v>0.12</v>
      </c>
      <c r="G55" s="344">
        <f t="shared" ref="G55:G58" si="27">G34/$G$23</f>
        <v>0.11474908200734393</v>
      </c>
      <c r="H55" s="344">
        <f t="shared" ref="H55:H58" si="28">H34/$H$23</f>
        <v>0.11350737797956868</v>
      </c>
      <c r="I55" s="344">
        <f t="shared" ref="I55:I58" si="29">I34/$I$23</f>
        <v>0.11307910637351537</v>
      </c>
      <c r="J55" s="269"/>
      <c r="K55" s="269"/>
      <c r="L55" s="269"/>
      <c r="M55" s="269"/>
      <c r="N55" s="269"/>
      <c r="O55" s="269"/>
      <c r="P55" s="269"/>
      <c r="Q55" s="269"/>
      <c r="R55" s="269"/>
    </row>
    <row r="56" spans="1:18" ht="18" customHeight="1" x14ac:dyDescent="0.25">
      <c r="A56" s="263"/>
      <c r="B56" s="263"/>
      <c r="C56" s="335" t="s">
        <v>464</v>
      </c>
      <c r="D56" s="344">
        <f t="shared" si="24"/>
        <v>0</v>
      </c>
      <c r="E56" s="344">
        <f t="shared" si="25"/>
        <v>0</v>
      </c>
      <c r="F56" s="344">
        <f t="shared" si="26"/>
        <v>0</v>
      </c>
      <c r="G56" s="344">
        <f t="shared" si="27"/>
        <v>4.3757649938800491E-2</v>
      </c>
      <c r="H56" s="344">
        <f t="shared" si="28"/>
        <v>4.3284146802875526E-2</v>
      </c>
      <c r="I56" s="344">
        <f t="shared" si="29"/>
        <v>4.3120832563767197E-2</v>
      </c>
      <c r="J56" s="269"/>
      <c r="K56" s="269"/>
      <c r="L56" s="269"/>
      <c r="M56" s="269"/>
      <c r="N56" s="269"/>
      <c r="O56" s="269"/>
      <c r="P56" s="269"/>
      <c r="Q56" s="269"/>
      <c r="R56" s="269"/>
    </row>
    <row r="57" spans="1:18" ht="18" customHeight="1" x14ac:dyDescent="0.25">
      <c r="A57" s="263"/>
      <c r="B57" s="263"/>
      <c r="C57" s="335" t="s">
        <v>465</v>
      </c>
      <c r="D57" s="344">
        <f t="shared" si="24"/>
        <v>0</v>
      </c>
      <c r="E57" s="344">
        <f t="shared" si="25"/>
        <v>0</v>
      </c>
      <c r="F57" s="344">
        <f t="shared" si="26"/>
        <v>0</v>
      </c>
      <c r="G57" s="344">
        <f t="shared" si="27"/>
        <v>0</v>
      </c>
      <c r="H57" s="344">
        <f t="shared" si="28"/>
        <v>1.0821036700718881E-2</v>
      </c>
      <c r="I57" s="344">
        <f t="shared" si="29"/>
        <v>1.0780208140941799E-2</v>
      </c>
      <c r="J57" s="269"/>
      <c r="K57" s="269"/>
      <c r="L57" s="269"/>
      <c r="M57" s="269"/>
      <c r="N57" s="269"/>
      <c r="O57" s="269"/>
      <c r="P57" s="269"/>
      <c r="Q57" s="269"/>
      <c r="R57" s="269"/>
    </row>
    <row r="58" spans="1:18" ht="18" customHeight="1" x14ac:dyDescent="0.25">
      <c r="A58" s="263"/>
      <c r="B58" s="263"/>
      <c r="C58" s="335" t="s">
        <v>466</v>
      </c>
      <c r="D58" s="344">
        <f t="shared" si="24"/>
        <v>0</v>
      </c>
      <c r="E58" s="344">
        <f t="shared" si="25"/>
        <v>0</v>
      </c>
      <c r="F58" s="344">
        <f t="shared" si="26"/>
        <v>0</v>
      </c>
      <c r="G58" s="344">
        <f t="shared" si="27"/>
        <v>0</v>
      </c>
      <c r="H58" s="344">
        <f t="shared" si="28"/>
        <v>0</v>
      </c>
      <c r="I58" s="344">
        <f t="shared" si="29"/>
        <v>3.7730728493296298E-3</v>
      </c>
      <c r="J58" s="269"/>
      <c r="K58" s="269"/>
      <c r="L58" s="269"/>
      <c r="M58" s="269"/>
      <c r="N58" s="269"/>
      <c r="O58" s="269"/>
      <c r="P58" s="269"/>
      <c r="Q58" s="269"/>
      <c r="R58" s="269"/>
    </row>
    <row r="59" spans="1:18" x14ac:dyDescent="0.25">
      <c r="A59" s="263"/>
      <c r="B59" s="263"/>
      <c r="C59" s="306"/>
      <c r="D59" s="317"/>
      <c r="E59" s="317"/>
      <c r="F59" s="317"/>
      <c r="G59" s="317"/>
      <c r="H59" s="317"/>
      <c r="I59" s="317"/>
      <c r="J59" s="269"/>
      <c r="K59" s="269"/>
      <c r="L59" s="269"/>
      <c r="M59" s="269"/>
      <c r="N59" s="269"/>
      <c r="O59" s="269"/>
      <c r="P59" s="269"/>
      <c r="Q59" s="269"/>
      <c r="R59" s="269"/>
    </row>
    <row r="60" spans="1:18" ht="18" customHeight="1" x14ac:dyDescent="0.25">
      <c r="A60" s="263"/>
      <c r="B60" s="263"/>
      <c r="C60" s="311" t="s">
        <v>467</v>
      </c>
      <c r="D60" s="349">
        <f>D39/D23</f>
        <v>0</v>
      </c>
      <c r="E60" s="349">
        <f t="shared" ref="E60:I60" si="30">E39/E23</f>
        <v>0</v>
      </c>
      <c r="F60" s="349">
        <f t="shared" si="30"/>
        <v>0</v>
      </c>
      <c r="G60" s="349">
        <f t="shared" si="30"/>
        <v>0</v>
      </c>
      <c r="H60" s="349">
        <f t="shared" si="30"/>
        <v>0</v>
      </c>
      <c r="I60" s="349">
        <f t="shared" si="30"/>
        <v>0</v>
      </c>
      <c r="J60" s="269"/>
      <c r="K60" s="269"/>
      <c r="L60" s="269"/>
      <c r="M60" s="269"/>
      <c r="N60" s="269"/>
      <c r="O60" s="269"/>
      <c r="P60" s="269"/>
      <c r="Q60" s="269"/>
      <c r="R60" s="269"/>
    </row>
    <row r="61" spans="1:18" x14ac:dyDescent="0.25">
      <c r="A61" s="263"/>
      <c r="B61" s="263"/>
      <c r="C61" s="269"/>
      <c r="D61" s="269"/>
      <c r="E61" s="269"/>
      <c r="F61" s="269"/>
      <c r="G61" s="269"/>
      <c r="H61" s="269"/>
      <c r="I61" s="269"/>
      <c r="J61" s="269"/>
      <c r="K61" s="269"/>
      <c r="L61" s="269"/>
      <c r="M61" s="269"/>
      <c r="N61" s="269"/>
      <c r="O61" s="269"/>
      <c r="P61" s="269"/>
      <c r="Q61" s="269"/>
      <c r="R61" s="269"/>
    </row>
    <row r="62" spans="1:18" x14ac:dyDescent="0.25">
      <c r="A62" s="263"/>
      <c r="B62" s="263"/>
      <c r="C62" s="269"/>
      <c r="D62" s="269"/>
      <c r="E62" s="269"/>
      <c r="F62" s="269"/>
      <c r="G62" s="269"/>
      <c r="H62" s="269"/>
      <c r="I62" s="269"/>
      <c r="J62" s="269"/>
      <c r="K62" s="269"/>
      <c r="L62" s="269"/>
      <c r="M62" s="269"/>
      <c r="N62" s="269"/>
      <c r="O62" s="269"/>
      <c r="P62" s="269"/>
      <c r="Q62" s="269"/>
      <c r="R62" s="269"/>
    </row>
    <row r="63" spans="1:18" ht="21" customHeight="1" x14ac:dyDescent="0.25">
      <c r="A63" s="267">
        <v>4</v>
      </c>
      <c r="B63" s="268"/>
      <c r="C63" s="283" t="s">
        <v>377</v>
      </c>
      <c r="D63" s="268"/>
      <c r="E63" s="268"/>
      <c r="F63" s="268"/>
      <c r="G63" s="268"/>
      <c r="H63" s="268"/>
      <c r="I63" s="268"/>
      <c r="J63" s="263"/>
      <c r="K63" s="263"/>
      <c r="L63" s="263"/>
      <c r="M63" s="263"/>
      <c r="N63" s="263"/>
      <c r="O63" s="263"/>
      <c r="P63" s="263"/>
      <c r="Q63" s="263"/>
      <c r="R63" s="263"/>
    </row>
    <row r="64" spans="1:18" ht="15.75" thickBot="1" x14ac:dyDescent="0.3">
      <c r="A64" s="263"/>
      <c r="B64" s="263"/>
      <c r="C64" s="269"/>
      <c r="D64" s="269"/>
      <c r="E64" s="269"/>
      <c r="F64" s="269"/>
      <c r="G64" s="269"/>
      <c r="H64" s="269"/>
      <c r="I64" s="269"/>
      <c r="J64" s="269"/>
      <c r="K64" s="269"/>
      <c r="L64" s="269"/>
      <c r="M64" s="269"/>
      <c r="N64" s="269"/>
      <c r="O64" s="269"/>
      <c r="P64" s="269"/>
      <c r="Q64" s="269"/>
      <c r="R64" s="269"/>
    </row>
    <row r="65" spans="1:18" ht="18" customHeight="1" thickBot="1" x14ac:dyDescent="0.3">
      <c r="A65" s="263"/>
      <c r="B65" s="263"/>
      <c r="C65" s="337" t="s">
        <v>75</v>
      </c>
      <c r="D65" s="345">
        <f>D67+D74+D81</f>
        <v>0</v>
      </c>
      <c r="E65" s="345">
        <f t="shared" ref="E65:I65" si="31">E67+E74+E81</f>
        <v>1111111.1111111115</v>
      </c>
      <c r="F65" s="345">
        <f t="shared" si="31"/>
        <v>2500000</v>
      </c>
      <c r="G65" s="345">
        <f t="shared" si="31"/>
        <v>9141258.7412587404</v>
      </c>
      <c r="H65" s="345">
        <f t="shared" si="31"/>
        <v>18482517.482517481</v>
      </c>
      <c r="I65" s="346">
        <f t="shared" si="31"/>
        <v>26503596.403596401</v>
      </c>
      <c r="J65" s="269"/>
      <c r="K65" s="269"/>
      <c r="L65" s="269"/>
      <c r="M65" s="269"/>
      <c r="N65" s="269"/>
      <c r="O65" s="269"/>
      <c r="P65" s="269"/>
      <c r="Q65" s="269"/>
      <c r="R65" s="269"/>
    </row>
    <row r="66" spans="1:18" ht="15.75" thickBot="1" x14ac:dyDescent="0.3">
      <c r="A66" s="263"/>
      <c r="B66" s="263"/>
      <c r="C66" s="331"/>
      <c r="D66" s="333"/>
      <c r="E66" s="333"/>
      <c r="F66" s="333"/>
      <c r="G66" s="333"/>
      <c r="H66" s="333"/>
      <c r="I66" s="333"/>
      <c r="J66" s="269"/>
      <c r="K66" s="269"/>
      <c r="L66" s="269"/>
      <c r="M66" s="269"/>
      <c r="N66" s="269"/>
      <c r="O66" s="269"/>
      <c r="P66" s="269"/>
      <c r="Q66" s="269"/>
      <c r="R66" s="269"/>
    </row>
    <row r="67" spans="1:18" ht="18" customHeight="1" thickBot="1" x14ac:dyDescent="0.3">
      <c r="A67" s="263"/>
      <c r="B67" s="263"/>
      <c r="C67" s="337" t="s">
        <v>469</v>
      </c>
      <c r="D67" s="345">
        <f>SUM(D68:D72)</f>
        <v>0</v>
      </c>
      <c r="E67" s="345">
        <f t="shared" ref="E67:I67" si="32">SUM(E68:E72)</f>
        <v>1011111.1111111114</v>
      </c>
      <c r="F67" s="345">
        <f t="shared" si="32"/>
        <v>2002000</v>
      </c>
      <c r="G67" s="345">
        <f t="shared" si="32"/>
        <v>6999999.9999999991</v>
      </c>
      <c r="H67" s="345">
        <f t="shared" si="32"/>
        <v>14000000</v>
      </c>
      <c r="I67" s="346">
        <f t="shared" si="32"/>
        <v>20000000</v>
      </c>
      <c r="J67" s="269"/>
      <c r="K67" s="269"/>
      <c r="L67" s="269"/>
      <c r="M67" s="269"/>
      <c r="N67" s="269"/>
      <c r="O67" s="269"/>
      <c r="P67" s="269"/>
      <c r="Q67" s="269"/>
      <c r="R67" s="269"/>
    </row>
    <row r="68" spans="1:18" ht="18" customHeight="1" x14ac:dyDescent="0.25">
      <c r="A68" s="263"/>
      <c r="B68" s="263"/>
      <c r="C68" s="340" t="s">
        <v>456</v>
      </c>
      <c r="D68" s="347"/>
      <c r="E68" s="347">
        <f>$E$83*E47</f>
        <v>202222.22222222228</v>
      </c>
      <c r="F68" s="347">
        <f>$F$83*F47</f>
        <v>400400</v>
      </c>
      <c r="G68" s="347">
        <f>$G$83*G47</f>
        <v>1399999.9999999998</v>
      </c>
      <c r="H68" s="347">
        <f>$H$83*H47</f>
        <v>2800000</v>
      </c>
      <c r="I68" s="347">
        <f>$I$83*I47</f>
        <v>4000000</v>
      </c>
      <c r="J68" s="269"/>
      <c r="K68" s="269"/>
      <c r="L68" s="269"/>
      <c r="M68" s="269"/>
      <c r="N68" s="269"/>
      <c r="O68" s="269"/>
      <c r="P68" s="269"/>
      <c r="Q68" s="269"/>
      <c r="R68" s="269"/>
    </row>
    <row r="69" spans="1:18" ht="18" customHeight="1" x14ac:dyDescent="0.25">
      <c r="A69" s="263"/>
      <c r="B69" s="263"/>
      <c r="C69" s="335" t="s">
        <v>457</v>
      </c>
      <c r="D69" s="336"/>
      <c r="E69" s="336">
        <f t="shared" ref="E69:E72" si="33">$E$83*E48</f>
        <v>202222.22222222228</v>
      </c>
      <c r="F69" s="347">
        <f t="shared" ref="F69:F72" si="34">$F$83*F48</f>
        <v>400400</v>
      </c>
      <c r="G69" s="347">
        <f t="shared" ref="G69:G72" si="35">$G$83*G48</f>
        <v>1399999.9999999998</v>
      </c>
      <c r="H69" s="347">
        <f t="shared" ref="H69:H72" si="36">$H$83*H48</f>
        <v>2800000</v>
      </c>
      <c r="I69" s="347">
        <f t="shared" ref="I69:I72" si="37">$I$83*I48</f>
        <v>4000000</v>
      </c>
      <c r="J69" s="269"/>
      <c r="K69" s="269"/>
      <c r="L69" s="269"/>
      <c r="M69" s="269"/>
      <c r="N69" s="269"/>
      <c r="O69" s="269"/>
      <c r="P69" s="269"/>
      <c r="Q69" s="269"/>
      <c r="R69" s="269"/>
    </row>
    <row r="70" spans="1:18" ht="18" customHeight="1" x14ac:dyDescent="0.25">
      <c r="A70" s="263"/>
      <c r="B70" s="263"/>
      <c r="C70" s="335" t="s">
        <v>458</v>
      </c>
      <c r="D70" s="336"/>
      <c r="E70" s="336">
        <f t="shared" si="33"/>
        <v>202222.22222222228</v>
      </c>
      <c r="F70" s="347">
        <f t="shared" si="34"/>
        <v>400400</v>
      </c>
      <c r="G70" s="347">
        <f t="shared" si="35"/>
        <v>1399999.9999999998</v>
      </c>
      <c r="H70" s="347">
        <f t="shared" si="36"/>
        <v>2800000</v>
      </c>
      <c r="I70" s="347">
        <f t="shared" si="37"/>
        <v>4000000</v>
      </c>
      <c r="J70" s="269"/>
      <c r="K70" s="269"/>
      <c r="L70" s="269"/>
      <c r="M70" s="269"/>
      <c r="N70" s="269"/>
      <c r="O70" s="269"/>
      <c r="P70" s="269"/>
      <c r="Q70" s="269"/>
      <c r="R70" s="269"/>
    </row>
    <row r="71" spans="1:18" ht="18" customHeight="1" x14ac:dyDescent="0.25">
      <c r="A71" s="263"/>
      <c r="B71" s="263"/>
      <c r="C71" s="335" t="s">
        <v>459</v>
      </c>
      <c r="D71" s="336"/>
      <c r="E71" s="336">
        <f t="shared" si="33"/>
        <v>202222.22222222228</v>
      </c>
      <c r="F71" s="347">
        <f t="shared" si="34"/>
        <v>400400</v>
      </c>
      <c r="G71" s="347">
        <f t="shared" si="35"/>
        <v>1399999.9999999998</v>
      </c>
      <c r="H71" s="347">
        <f t="shared" si="36"/>
        <v>2800000</v>
      </c>
      <c r="I71" s="347">
        <f t="shared" si="37"/>
        <v>4000000</v>
      </c>
      <c r="J71" s="269"/>
      <c r="K71" s="269"/>
      <c r="L71" s="269"/>
      <c r="M71" s="269"/>
      <c r="N71" s="269"/>
      <c r="O71" s="269"/>
      <c r="P71" s="269"/>
      <c r="Q71" s="269"/>
      <c r="R71" s="269"/>
    </row>
    <row r="72" spans="1:18" ht="18" customHeight="1" x14ac:dyDescent="0.25">
      <c r="A72" s="263"/>
      <c r="B72" s="263"/>
      <c r="C72" s="335" t="s">
        <v>460</v>
      </c>
      <c r="D72" s="336"/>
      <c r="E72" s="336">
        <f t="shared" si="33"/>
        <v>202222.22222222228</v>
      </c>
      <c r="F72" s="347">
        <f t="shared" si="34"/>
        <v>400400</v>
      </c>
      <c r="G72" s="347">
        <f t="shared" si="35"/>
        <v>1399999.9999999998</v>
      </c>
      <c r="H72" s="347">
        <f t="shared" si="36"/>
        <v>2800000</v>
      </c>
      <c r="I72" s="347">
        <f t="shared" si="37"/>
        <v>4000000</v>
      </c>
      <c r="J72" s="269"/>
      <c r="K72" s="269"/>
      <c r="L72" s="269"/>
      <c r="M72" s="269"/>
      <c r="N72" s="269"/>
      <c r="O72" s="269"/>
      <c r="P72" s="269"/>
      <c r="Q72" s="269"/>
      <c r="R72" s="269"/>
    </row>
    <row r="73" spans="1:18" ht="15.75" thickBot="1" x14ac:dyDescent="0.3">
      <c r="A73" s="263"/>
      <c r="B73" s="263"/>
      <c r="C73" s="329"/>
      <c r="D73" s="334"/>
      <c r="E73" s="334"/>
      <c r="F73" s="334"/>
      <c r="G73" s="334"/>
      <c r="H73" s="334"/>
      <c r="I73" s="334"/>
      <c r="J73" s="269"/>
      <c r="K73" s="269"/>
      <c r="L73" s="269"/>
      <c r="M73" s="269"/>
      <c r="N73" s="269"/>
      <c r="O73" s="269"/>
      <c r="P73" s="269"/>
      <c r="Q73" s="269"/>
      <c r="R73" s="269"/>
    </row>
    <row r="74" spans="1:18" ht="18" customHeight="1" thickBot="1" x14ac:dyDescent="0.3">
      <c r="A74" s="263"/>
      <c r="B74" s="263"/>
      <c r="C74" s="337" t="s">
        <v>461</v>
      </c>
      <c r="D74" s="345">
        <v>0</v>
      </c>
      <c r="E74" s="345">
        <f>SUM(E75:E79)</f>
        <v>100000.00000000001</v>
      </c>
      <c r="F74" s="345">
        <f t="shared" ref="F74:I74" si="38">SUM(F75:F79)</f>
        <v>498000</v>
      </c>
      <c r="G74" s="345">
        <f t="shared" si="38"/>
        <v>2141258.7412587409</v>
      </c>
      <c r="H74" s="345">
        <f t="shared" si="38"/>
        <v>4482517.4825174827</v>
      </c>
      <c r="I74" s="345">
        <f t="shared" si="38"/>
        <v>6503596.4035964031</v>
      </c>
      <c r="J74" s="269"/>
      <c r="K74" s="269"/>
      <c r="L74" s="269"/>
      <c r="M74" s="269"/>
      <c r="N74" s="269"/>
      <c r="O74" s="269"/>
      <c r="P74" s="269"/>
      <c r="Q74" s="269"/>
      <c r="R74" s="269"/>
    </row>
    <row r="75" spans="1:18" ht="18" customHeight="1" x14ac:dyDescent="0.25">
      <c r="A75" s="263"/>
      <c r="B75" s="263"/>
      <c r="C75" s="340" t="s">
        <v>462</v>
      </c>
      <c r="D75" s="347">
        <v>0</v>
      </c>
      <c r="E75" s="347">
        <f>E54*$E$83</f>
        <v>100000.00000000001</v>
      </c>
      <c r="F75" s="347">
        <f>F54*$F$83</f>
        <v>197999.99999999997</v>
      </c>
      <c r="G75" s="347">
        <f>G54*$G$83</f>
        <v>692307.69230769214</v>
      </c>
      <c r="H75" s="347">
        <f>H54*$H$83</f>
        <v>1384615.3846153845</v>
      </c>
      <c r="I75" s="347">
        <f>I54*$I$83</f>
        <v>1978021.9780219777</v>
      </c>
      <c r="J75" s="269"/>
      <c r="K75" s="269"/>
      <c r="L75" s="269"/>
      <c r="M75" s="269"/>
      <c r="N75" s="269"/>
      <c r="O75" s="269"/>
      <c r="P75" s="269"/>
      <c r="Q75" s="269"/>
      <c r="R75" s="269"/>
    </row>
    <row r="76" spans="1:18" ht="18" customHeight="1" x14ac:dyDescent="0.25">
      <c r="A76" s="263"/>
      <c r="B76" s="263"/>
      <c r="C76" s="335" t="s">
        <v>463</v>
      </c>
      <c r="D76" s="336">
        <v>0</v>
      </c>
      <c r="E76" s="347">
        <f t="shared" ref="E76:E79" si="39">E55*$E$83</f>
        <v>0</v>
      </c>
      <c r="F76" s="347">
        <f t="shared" ref="F76:F79" si="40">F55*$F$83</f>
        <v>300000</v>
      </c>
      <c r="G76" s="347">
        <f t="shared" ref="G76:G79" si="41">G55*$G$83</f>
        <v>1048951.0489510489</v>
      </c>
      <c r="H76" s="347">
        <f t="shared" ref="H76:H79" si="42">H55*$H$83</f>
        <v>2097902.0979020977</v>
      </c>
      <c r="I76" s="347">
        <f t="shared" ref="I76:I79" si="43">I55*$I$83</f>
        <v>2997002.997002997</v>
      </c>
      <c r="J76" s="269"/>
      <c r="K76" s="269"/>
      <c r="L76" s="269"/>
      <c r="M76" s="269"/>
      <c r="N76" s="269"/>
      <c r="O76" s="269"/>
      <c r="P76" s="269"/>
      <c r="Q76" s="269"/>
      <c r="R76" s="269"/>
    </row>
    <row r="77" spans="1:18" ht="18" customHeight="1" x14ac:dyDescent="0.25">
      <c r="A77" s="263"/>
      <c r="B77" s="263"/>
      <c r="C77" s="335" t="s">
        <v>464</v>
      </c>
      <c r="D77" s="336">
        <v>0</v>
      </c>
      <c r="E77" s="347">
        <f t="shared" si="39"/>
        <v>0</v>
      </c>
      <c r="F77" s="347">
        <f t="shared" si="40"/>
        <v>0</v>
      </c>
      <c r="G77" s="347">
        <f t="shared" si="41"/>
        <v>400000</v>
      </c>
      <c r="H77" s="347">
        <f t="shared" si="42"/>
        <v>800000</v>
      </c>
      <c r="I77" s="347">
        <f t="shared" si="43"/>
        <v>1142857.142857143</v>
      </c>
      <c r="J77" s="269"/>
      <c r="K77" s="269"/>
      <c r="L77" s="269"/>
      <c r="M77" s="269"/>
      <c r="N77" s="269"/>
      <c r="O77" s="269"/>
      <c r="P77" s="269"/>
      <c r="Q77" s="269"/>
      <c r="R77" s="269"/>
    </row>
    <row r="78" spans="1:18" ht="18" customHeight="1" x14ac:dyDescent="0.25">
      <c r="A78" s="263"/>
      <c r="B78" s="263"/>
      <c r="C78" s="335" t="s">
        <v>465</v>
      </c>
      <c r="D78" s="336">
        <v>0</v>
      </c>
      <c r="E78" s="347">
        <f t="shared" si="39"/>
        <v>0</v>
      </c>
      <c r="F78" s="347">
        <f t="shared" si="40"/>
        <v>0</v>
      </c>
      <c r="G78" s="347">
        <f t="shared" si="41"/>
        <v>0</v>
      </c>
      <c r="H78" s="347">
        <f t="shared" si="42"/>
        <v>200000</v>
      </c>
      <c r="I78" s="347">
        <f t="shared" si="43"/>
        <v>285714.28571428574</v>
      </c>
      <c r="J78" s="269"/>
      <c r="K78" s="269"/>
      <c r="L78" s="269"/>
      <c r="M78" s="269"/>
      <c r="N78" s="269"/>
      <c r="O78" s="269"/>
      <c r="P78" s="269"/>
      <c r="Q78" s="269"/>
      <c r="R78" s="269"/>
    </row>
    <row r="79" spans="1:18" ht="18" customHeight="1" x14ac:dyDescent="0.25">
      <c r="A79" s="263"/>
      <c r="B79" s="263"/>
      <c r="C79" s="335" t="s">
        <v>466</v>
      </c>
      <c r="D79" s="336">
        <v>0</v>
      </c>
      <c r="E79" s="347">
        <f t="shared" si="39"/>
        <v>0</v>
      </c>
      <c r="F79" s="347">
        <f t="shared" si="40"/>
        <v>0</v>
      </c>
      <c r="G79" s="347">
        <f t="shared" si="41"/>
        <v>0</v>
      </c>
      <c r="H79" s="347">
        <f t="shared" si="42"/>
        <v>0</v>
      </c>
      <c r="I79" s="347">
        <f t="shared" si="43"/>
        <v>100000</v>
      </c>
      <c r="J79" s="269"/>
      <c r="K79" s="269"/>
      <c r="L79" s="269"/>
      <c r="M79" s="269"/>
      <c r="N79" s="269"/>
      <c r="O79" s="269"/>
      <c r="P79" s="269"/>
      <c r="Q79" s="269"/>
      <c r="R79" s="269"/>
    </row>
    <row r="80" spans="1:18" ht="15.75" thickBot="1" x14ac:dyDescent="0.3">
      <c r="A80" s="263"/>
      <c r="B80" s="263"/>
      <c r="C80" s="329"/>
      <c r="D80" s="334"/>
      <c r="E80" s="334"/>
      <c r="F80" s="334"/>
      <c r="G80" s="334"/>
      <c r="H80" s="334"/>
      <c r="I80" s="334"/>
      <c r="J80" s="269"/>
      <c r="K80" s="269"/>
      <c r="L80" s="269"/>
      <c r="M80" s="269"/>
      <c r="N80" s="269"/>
      <c r="O80" s="269"/>
      <c r="P80" s="269"/>
      <c r="Q80" s="269"/>
      <c r="R80" s="269"/>
    </row>
    <row r="81" spans="1:18" ht="18" customHeight="1" thickBot="1" x14ac:dyDescent="0.3">
      <c r="A81" s="263"/>
      <c r="B81" s="263"/>
      <c r="C81" s="337" t="s">
        <v>467</v>
      </c>
      <c r="D81" s="345">
        <v>0</v>
      </c>
      <c r="E81" s="345">
        <f>IF(E83=0,0,E60/$E$83)</f>
        <v>0</v>
      </c>
      <c r="F81" s="345">
        <f>IF(F83=0,0,F60/$F$83)</f>
        <v>0</v>
      </c>
      <c r="G81" s="345">
        <f>IF(G60=0,0,G60/$G$83)</f>
        <v>0</v>
      </c>
      <c r="H81" s="345">
        <f>IF(H83=0,0,H60/$H$83)</f>
        <v>0</v>
      </c>
      <c r="I81" s="345">
        <f>IF(I60=0,0,I60/$I$83)</f>
        <v>0</v>
      </c>
      <c r="J81" s="269"/>
      <c r="K81" s="269"/>
      <c r="L81" s="269"/>
      <c r="M81" s="269"/>
      <c r="N81" s="269"/>
      <c r="O81" s="269"/>
      <c r="P81" s="269"/>
      <c r="Q81" s="269"/>
      <c r="R81" s="269"/>
    </row>
    <row r="82" spans="1:18" x14ac:dyDescent="0.25">
      <c r="A82" s="263"/>
      <c r="B82" s="263"/>
      <c r="C82" s="269"/>
      <c r="D82" s="269"/>
      <c r="E82" s="269"/>
      <c r="F82" s="269"/>
      <c r="G82" s="269"/>
      <c r="H82" s="269"/>
      <c r="I82" s="269"/>
      <c r="J82" s="269"/>
      <c r="K82" s="269"/>
      <c r="L82" s="269"/>
      <c r="M82" s="269"/>
      <c r="N82" s="269"/>
      <c r="O82" s="269"/>
      <c r="P82" s="269"/>
      <c r="Q82" s="269"/>
      <c r="R82" s="269"/>
    </row>
    <row r="83" spans="1:18" ht="18" customHeight="1" x14ac:dyDescent="0.25">
      <c r="A83" s="263"/>
      <c r="B83" s="263"/>
      <c r="C83" s="284" t="s">
        <v>470</v>
      </c>
      <c r="D83" s="285">
        <f>D12</f>
        <v>0</v>
      </c>
      <c r="E83" s="285">
        <f t="shared" ref="E83:I83" si="44">E12</f>
        <v>1111111.1111111112</v>
      </c>
      <c r="F83" s="285">
        <f t="shared" si="44"/>
        <v>2500000</v>
      </c>
      <c r="G83" s="285">
        <f t="shared" si="44"/>
        <v>9141258.7412587404</v>
      </c>
      <c r="H83" s="285">
        <f t="shared" si="44"/>
        <v>18482517.482517481</v>
      </c>
      <c r="I83" s="285">
        <f t="shared" si="44"/>
        <v>26503596.403596401</v>
      </c>
      <c r="J83" s="269"/>
      <c r="K83" s="269"/>
      <c r="L83" s="269"/>
      <c r="M83" s="269"/>
      <c r="N83" s="269"/>
      <c r="O83" s="269"/>
      <c r="P83" s="269"/>
      <c r="Q83" s="269"/>
      <c r="R83" s="269"/>
    </row>
    <row r="84" spans="1:18" ht="18" customHeight="1" x14ac:dyDescent="0.25">
      <c r="A84" s="263"/>
      <c r="B84" s="263"/>
      <c r="C84" s="284" t="s">
        <v>471</v>
      </c>
      <c r="D84" s="286">
        <f>D83/D23</f>
        <v>0</v>
      </c>
      <c r="E84" s="348">
        <f t="shared" ref="E84:I84" si="45">E83/E23</f>
        <v>1.0111111111111113</v>
      </c>
      <c r="F84" s="348">
        <f t="shared" si="45"/>
        <v>2.0020000000000002</v>
      </c>
      <c r="G84" s="348">
        <f t="shared" si="45"/>
        <v>6.9999999999999991</v>
      </c>
      <c r="H84" s="348">
        <f t="shared" si="45"/>
        <v>14</v>
      </c>
      <c r="I84" s="348">
        <f t="shared" si="45"/>
        <v>20</v>
      </c>
      <c r="J84" s="269"/>
      <c r="K84" s="269"/>
      <c r="L84" s="269"/>
      <c r="M84" s="269"/>
      <c r="N84" s="269"/>
      <c r="O84" s="269"/>
      <c r="P84" s="269"/>
      <c r="Q84" s="269"/>
      <c r="R84" s="269"/>
    </row>
    <row r="85" spans="1:18" x14ac:dyDescent="0.25">
      <c r="A85" s="263"/>
      <c r="B85" s="263"/>
      <c r="C85" s="269"/>
      <c r="D85" s="269"/>
      <c r="E85" s="269"/>
      <c r="F85" s="269"/>
      <c r="G85" s="269"/>
      <c r="H85" s="269"/>
      <c r="I85" s="269"/>
      <c r="J85" s="269"/>
      <c r="K85" s="269"/>
      <c r="L85" s="269"/>
      <c r="M85" s="269"/>
      <c r="N85" s="269"/>
      <c r="O85" s="269"/>
      <c r="P85" s="269"/>
      <c r="Q85" s="269"/>
      <c r="R85" s="269"/>
    </row>
    <row r="86" spans="1:18" hidden="1" x14ac:dyDescent="0.25">
      <c r="A86" s="263"/>
      <c r="B86" s="263"/>
      <c r="C86" s="269"/>
      <c r="D86" s="269"/>
      <c r="E86" s="269"/>
      <c r="F86" s="269"/>
      <c r="G86" s="269"/>
      <c r="H86" s="269"/>
      <c r="I86" s="269"/>
      <c r="J86" s="269"/>
      <c r="K86" s="269"/>
      <c r="L86" s="269"/>
      <c r="M86" s="269"/>
      <c r="N86" s="269"/>
      <c r="O86" s="269"/>
      <c r="P86" s="269"/>
      <c r="Q86" s="269"/>
      <c r="R86" s="269"/>
    </row>
    <row r="87" spans="1:18" ht="21" hidden="1" customHeight="1" x14ac:dyDescent="0.25">
      <c r="A87" s="263"/>
      <c r="B87" s="263"/>
      <c r="C87" s="275" t="s">
        <v>472</v>
      </c>
      <c r="D87" s="263"/>
      <c r="E87" s="263"/>
      <c r="F87" s="263"/>
      <c r="G87" s="263"/>
      <c r="H87" s="263"/>
      <c r="I87" s="263"/>
      <c r="J87" s="269"/>
      <c r="K87" s="269"/>
      <c r="L87" s="269"/>
      <c r="M87" s="269"/>
      <c r="N87" s="269"/>
      <c r="O87" s="269"/>
      <c r="P87" s="269"/>
      <c r="Q87" s="269"/>
      <c r="R87" s="269"/>
    </row>
    <row r="88" spans="1:18" ht="18" hidden="1" customHeight="1" x14ac:dyDescent="0.25">
      <c r="A88" s="263"/>
      <c r="B88" s="263"/>
      <c r="C88" s="273" t="s">
        <v>473</v>
      </c>
      <c r="D88" s="276">
        <v>0</v>
      </c>
      <c r="E88" s="276">
        <v>0</v>
      </c>
      <c r="F88" s="276">
        <v>0.21008403361344535</v>
      </c>
      <c r="G88" s="276">
        <v>0.13043478260869565</v>
      </c>
      <c r="H88" s="276">
        <v>0.13043478260869565</v>
      </c>
      <c r="I88" s="276">
        <v>0.11764705882352941</v>
      </c>
      <c r="J88" s="269"/>
      <c r="K88" s="269"/>
      <c r="L88" s="269"/>
      <c r="M88" s="269"/>
      <c r="N88" s="269"/>
      <c r="O88" s="269"/>
      <c r="P88" s="269"/>
      <c r="Q88" s="269"/>
      <c r="R88" s="269"/>
    </row>
    <row r="89" spans="1:18" ht="18" hidden="1" customHeight="1" x14ac:dyDescent="0.25">
      <c r="A89" s="263"/>
      <c r="B89" s="263"/>
      <c r="C89" s="273" t="s">
        <v>474</v>
      </c>
      <c r="D89" s="276">
        <v>0</v>
      </c>
      <c r="E89" s="276">
        <v>0</v>
      </c>
      <c r="F89" s="276">
        <v>0.14285714285714285</v>
      </c>
      <c r="G89" s="276">
        <v>0.13043478260869565</v>
      </c>
      <c r="H89" s="276">
        <v>0.13043478260869565</v>
      </c>
      <c r="I89" s="276">
        <v>0.11764705882352941</v>
      </c>
      <c r="J89" s="269"/>
      <c r="K89" s="269"/>
      <c r="L89" s="269"/>
      <c r="M89" s="269"/>
      <c r="N89" s="269"/>
      <c r="O89" s="269"/>
      <c r="P89" s="269"/>
      <c r="Q89" s="269"/>
      <c r="R89" s="269"/>
    </row>
    <row r="90" spans="1:18" ht="18" hidden="1" customHeight="1" x14ac:dyDescent="0.25">
      <c r="A90" s="263"/>
      <c r="B90" s="263"/>
      <c r="C90" s="273" t="s">
        <v>475</v>
      </c>
      <c r="D90" s="277">
        <v>0</v>
      </c>
      <c r="E90" s="277">
        <v>0</v>
      </c>
      <c r="F90" s="276">
        <v>6.7226890756302518E-2</v>
      </c>
      <c r="G90" s="276">
        <v>0</v>
      </c>
      <c r="H90" s="276">
        <v>0</v>
      </c>
      <c r="I90" s="276">
        <v>0</v>
      </c>
      <c r="J90" s="269"/>
      <c r="K90" s="269"/>
      <c r="L90" s="269"/>
      <c r="M90" s="269"/>
      <c r="N90" s="269"/>
      <c r="O90" s="269"/>
      <c r="P90" s="269"/>
      <c r="Q90" s="269"/>
      <c r="R90" s="269"/>
    </row>
    <row r="91" spans="1:18" ht="18" hidden="1" customHeight="1" x14ac:dyDescent="0.25">
      <c r="A91" s="263"/>
      <c r="B91" s="263"/>
      <c r="C91" s="273" t="s">
        <v>476</v>
      </c>
      <c r="D91" s="277">
        <v>0</v>
      </c>
      <c r="E91" s="277">
        <v>0</v>
      </c>
      <c r="F91" s="277">
        <v>0</v>
      </c>
      <c r="G91" s="276">
        <v>0</v>
      </c>
      <c r="H91" s="276">
        <v>0</v>
      </c>
      <c r="I91" s="276">
        <v>0</v>
      </c>
      <c r="J91" s="269"/>
      <c r="K91" s="269"/>
      <c r="L91" s="269"/>
      <c r="M91" s="269"/>
      <c r="N91" s="269"/>
      <c r="O91" s="269"/>
      <c r="P91" s="269"/>
      <c r="Q91" s="269"/>
      <c r="R91" s="269"/>
    </row>
    <row r="92" spans="1:18" ht="18" hidden="1" customHeight="1" x14ac:dyDescent="0.25">
      <c r="A92" s="263"/>
      <c r="B92" s="263"/>
      <c r="C92" s="273" t="s">
        <v>477</v>
      </c>
      <c r="D92" s="277">
        <v>0</v>
      </c>
      <c r="E92" s="277">
        <v>0</v>
      </c>
      <c r="F92" s="277">
        <v>0</v>
      </c>
      <c r="G92" s="277">
        <v>0</v>
      </c>
      <c r="H92" s="276">
        <v>0</v>
      </c>
      <c r="I92" s="276">
        <v>0</v>
      </c>
      <c r="J92" s="269"/>
      <c r="K92" s="269"/>
      <c r="L92" s="269"/>
      <c r="M92" s="269"/>
      <c r="N92" s="269"/>
      <c r="O92" s="269"/>
      <c r="P92" s="269"/>
      <c r="Q92" s="269"/>
      <c r="R92" s="269"/>
    </row>
    <row r="93" spans="1:18" ht="18" hidden="1" customHeight="1" x14ac:dyDescent="0.25">
      <c r="A93" s="263"/>
      <c r="B93" s="263"/>
      <c r="C93" s="273" t="s">
        <v>478</v>
      </c>
      <c r="D93" s="277">
        <v>0</v>
      </c>
      <c r="E93" s="277">
        <v>0</v>
      </c>
      <c r="F93" s="277">
        <v>0</v>
      </c>
      <c r="G93" s="277">
        <v>0</v>
      </c>
      <c r="H93" s="277">
        <v>0</v>
      </c>
      <c r="I93" s="276">
        <v>0</v>
      </c>
      <c r="J93" s="269"/>
      <c r="K93" s="269"/>
      <c r="L93" s="269"/>
      <c r="M93" s="269"/>
      <c r="N93" s="269"/>
      <c r="O93" s="269"/>
      <c r="P93" s="269"/>
      <c r="Q93" s="269"/>
      <c r="R93" s="269"/>
    </row>
    <row r="94" spans="1:18" hidden="1" x14ac:dyDescent="0.25">
      <c r="A94" s="263"/>
      <c r="B94" s="263"/>
      <c r="C94" s="269"/>
      <c r="D94" s="269"/>
      <c r="E94" s="269"/>
      <c r="F94" s="269"/>
      <c r="G94" s="269"/>
      <c r="H94" s="269"/>
      <c r="I94" s="269"/>
      <c r="J94" s="269"/>
      <c r="K94" s="269"/>
      <c r="L94" s="269"/>
      <c r="M94" s="269"/>
      <c r="N94" s="269"/>
      <c r="O94" s="269"/>
      <c r="P94" s="269"/>
      <c r="Q94" s="269"/>
      <c r="R94" s="269"/>
    </row>
    <row r="95" spans="1:18" ht="21" hidden="1" customHeight="1" x14ac:dyDescent="0.25">
      <c r="A95" s="263"/>
      <c r="B95" s="263"/>
      <c r="C95" s="275" t="s">
        <v>479</v>
      </c>
      <c r="D95" s="263"/>
      <c r="E95" s="263"/>
      <c r="F95" s="263"/>
      <c r="G95" s="263"/>
      <c r="H95" s="263"/>
      <c r="I95" s="263"/>
      <c r="J95" s="269"/>
      <c r="K95" s="269"/>
      <c r="L95" s="269"/>
      <c r="M95" s="269"/>
      <c r="N95" s="269"/>
      <c r="O95" s="269"/>
      <c r="P95" s="269"/>
      <c r="Q95" s="269"/>
      <c r="R95" s="269"/>
    </row>
    <row r="96" spans="1:18" ht="18" hidden="1" customHeight="1" x14ac:dyDescent="0.25">
      <c r="A96" s="263"/>
      <c r="B96" s="263"/>
      <c r="C96" s="275" t="s">
        <v>480</v>
      </c>
      <c r="D96" s="277">
        <v>0</v>
      </c>
      <c r="E96" s="277">
        <v>0</v>
      </c>
      <c r="F96" s="272">
        <v>1</v>
      </c>
      <c r="G96" s="272">
        <v>0</v>
      </c>
      <c r="H96" s="272">
        <v>0</v>
      </c>
      <c r="I96" s="272">
        <v>0</v>
      </c>
      <c r="J96" s="269"/>
      <c r="K96" s="269"/>
      <c r="L96" s="269"/>
      <c r="M96" s="269"/>
      <c r="N96" s="269"/>
      <c r="O96" s="269"/>
      <c r="P96" s="269"/>
      <c r="Q96" s="269"/>
      <c r="R96" s="269"/>
    </row>
    <row r="97" spans="1:18" ht="18" hidden="1" customHeight="1" x14ac:dyDescent="0.25">
      <c r="A97" s="263"/>
      <c r="B97" s="263"/>
      <c r="C97" s="273" t="s">
        <v>481</v>
      </c>
      <c r="D97" s="277">
        <v>0</v>
      </c>
      <c r="E97" s="277">
        <v>0</v>
      </c>
      <c r="F97" s="272">
        <v>12</v>
      </c>
      <c r="G97" s="272">
        <v>0</v>
      </c>
      <c r="H97" s="272">
        <v>0</v>
      </c>
      <c r="I97" s="272">
        <v>0</v>
      </c>
      <c r="J97" s="269"/>
      <c r="K97" s="269"/>
      <c r="L97" s="269"/>
      <c r="M97" s="269"/>
      <c r="N97" s="269"/>
      <c r="O97" s="269"/>
      <c r="P97" s="269"/>
      <c r="Q97" s="269"/>
      <c r="R97" s="269"/>
    </row>
    <row r="98" spans="1:18" ht="18" hidden="1" customHeight="1" x14ac:dyDescent="0.25">
      <c r="A98" s="263"/>
      <c r="B98" s="263"/>
      <c r="C98" s="273" t="s">
        <v>482</v>
      </c>
      <c r="D98" s="277">
        <v>0</v>
      </c>
      <c r="E98" s="277">
        <v>0</v>
      </c>
      <c r="F98" s="272">
        <v>0</v>
      </c>
      <c r="G98" s="272">
        <v>0</v>
      </c>
      <c r="H98" s="272">
        <v>0</v>
      </c>
      <c r="I98" s="272">
        <v>0</v>
      </c>
      <c r="J98" s="269"/>
      <c r="K98" s="269"/>
      <c r="L98" s="269"/>
      <c r="M98" s="269"/>
      <c r="N98" s="269"/>
      <c r="O98" s="269"/>
      <c r="P98" s="269"/>
      <c r="Q98" s="269"/>
      <c r="R98" s="269"/>
    </row>
    <row r="99" spans="1:18" ht="18" hidden="1" customHeight="1" x14ac:dyDescent="0.25">
      <c r="A99" s="263"/>
      <c r="B99" s="263"/>
      <c r="C99" s="273" t="s">
        <v>483</v>
      </c>
      <c r="D99" s="277">
        <v>0</v>
      </c>
      <c r="E99" s="277">
        <v>0</v>
      </c>
      <c r="F99" s="272">
        <v>5950000</v>
      </c>
      <c r="G99" s="272">
        <v>0</v>
      </c>
      <c r="H99" s="272">
        <v>0</v>
      </c>
      <c r="I99" s="272">
        <v>0</v>
      </c>
      <c r="J99" s="269"/>
      <c r="K99" s="269"/>
      <c r="L99" s="269"/>
      <c r="M99" s="269"/>
      <c r="N99" s="269"/>
      <c r="O99" s="269"/>
      <c r="P99" s="269"/>
      <c r="Q99" s="269"/>
      <c r="R99" s="269"/>
    </row>
    <row r="100" spans="1:18" ht="18" hidden="1" customHeight="1" x14ac:dyDescent="0.25">
      <c r="A100" s="263"/>
      <c r="B100" s="263"/>
      <c r="C100" s="273" t="s">
        <v>484</v>
      </c>
      <c r="D100" s="277">
        <v>0</v>
      </c>
      <c r="E100" s="277">
        <v>0</v>
      </c>
      <c r="F100" s="272">
        <v>400000</v>
      </c>
      <c r="G100" s="272">
        <v>0</v>
      </c>
      <c r="H100" s="272">
        <v>0</v>
      </c>
      <c r="I100" s="272">
        <v>0</v>
      </c>
      <c r="J100" s="269"/>
      <c r="K100" s="269"/>
      <c r="L100" s="269"/>
      <c r="M100" s="269"/>
      <c r="N100" s="269"/>
      <c r="O100" s="269"/>
      <c r="P100" s="269"/>
      <c r="Q100" s="269"/>
      <c r="R100" s="269"/>
    </row>
    <row r="101" spans="1:18" hidden="1" x14ac:dyDescent="0.25"/>
    <row r="102" spans="1:18" ht="18" hidden="1" customHeight="1" x14ac:dyDescent="0.25">
      <c r="A102" s="263"/>
      <c r="B102" s="263"/>
      <c r="C102" s="275" t="s">
        <v>485</v>
      </c>
      <c r="D102" s="277">
        <v>0</v>
      </c>
      <c r="E102" s="277">
        <v>0</v>
      </c>
      <c r="F102" s="277">
        <v>0</v>
      </c>
      <c r="G102" s="272">
        <v>0</v>
      </c>
      <c r="H102" s="272">
        <v>0</v>
      </c>
      <c r="I102" s="272">
        <v>0</v>
      </c>
      <c r="J102" s="269"/>
      <c r="K102" s="269"/>
      <c r="L102" s="269"/>
      <c r="M102" s="269"/>
      <c r="N102" s="269"/>
      <c r="O102" s="269"/>
      <c r="P102" s="269"/>
      <c r="Q102" s="269"/>
      <c r="R102" s="269"/>
    </row>
    <row r="103" spans="1:18" ht="18" hidden="1" customHeight="1" x14ac:dyDescent="0.25">
      <c r="A103" s="263"/>
      <c r="B103" s="263"/>
      <c r="C103" s="273" t="s">
        <v>481</v>
      </c>
      <c r="D103" s="277">
        <v>0</v>
      </c>
      <c r="E103" s="277">
        <v>0</v>
      </c>
      <c r="F103" s="277">
        <v>0</v>
      </c>
      <c r="G103" s="272">
        <v>0</v>
      </c>
      <c r="H103" s="272">
        <v>0</v>
      </c>
      <c r="I103" s="272">
        <v>0</v>
      </c>
      <c r="J103" s="269"/>
      <c r="K103" s="269"/>
      <c r="L103" s="269"/>
      <c r="M103" s="269"/>
      <c r="N103" s="269"/>
      <c r="O103" s="269"/>
      <c r="P103" s="269"/>
      <c r="Q103" s="269"/>
      <c r="R103" s="269"/>
    </row>
    <row r="104" spans="1:18" ht="18" hidden="1" customHeight="1" x14ac:dyDescent="0.25">
      <c r="A104" s="263"/>
      <c r="B104" s="263"/>
      <c r="C104" s="273" t="s">
        <v>482</v>
      </c>
      <c r="D104" s="277">
        <v>0</v>
      </c>
      <c r="E104" s="277">
        <v>0</v>
      </c>
      <c r="F104" s="277">
        <v>0</v>
      </c>
      <c r="G104" s="272">
        <v>0</v>
      </c>
      <c r="H104" s="272">
        <v>0</v>
      </c>
      <c r="I104" s="272">
        <v>0</v>
      </c>
      <c r="J104" s="269"/>
      <c r="K104" s="269"/>
      <c r="L104" s="269"/>
      <c r="M104" s="269"/>
      <c r="N104" s="269"/>
      <c r="O104" s="269"/>
      <c r="P104" s="269"/>
      <c r="Q104" s="269"/>
      <c r="R104" s="269"/>
    </row>
    <row r="105" spans="1:18" ht="18" hidden="1" customHeight="1" x14ac:dyDescent="0.25">
      <c r="A105" s="263"/>
      <c r="B105" s="263"/>
      <c r="C105" s="273" t="s">
        <v>483</v>
      </c>
      <c r="D105" s="277">
        <v>0</v>
      </c>
      <c r="E105" s="277">
        <v>0</v>
      </c>
      <c r="F105" s="277">
        <v>0</v>
      </c>
      <c r="G105" s="272">
        <v>0</v>
      </c>
      <c r="H105" s="272">
        <v>0</v>
      </c>
      <c r="I105" s="272">
        <v>0</v>
      </c>
      <c r="J105" s="269"/>
      <c r="K105" s="269"/>
      <c r="L105" s="269"/>
      <c r="M105" s="269"/>
      <c r="N105" s="269"/>
      <c r="O105" s="269"/>
      <c r="P105" s="269"/>
      <c r="Q105" s="269"/>
      <c r="R105" s="269"/>
    </row>
    <row r="106" spans="1:18" ht="18" hidden="1" customHeight="1" x14ac:dyDescent="0.25">
      <c r="A106" s="263"/>
      <c r="B106" s="263"/>
      <c r="C106" s="273" t="s">
        <v>484</v>
      </c>
      <c r="D106" s="277">
        <v>0</v>
      </c>
      <c r="E106" s="277">
        <v>0</v>
      </c>
      <c r="F106" s="277">
        <v>0</v>
      </c>
      <c r="G106" s="272">
        <v>0</v>
      </c>
      <c r="H106" s="272">
        <v>0</v>
      </c>
      <c r="I106" s="272">
        <v>0</v>
      </c>
      <c r="J106" s="269"/>
      <c r="K106" s="269"/>
      <c r="L106" s="269"/>
      <c r="M106" s="269"/>
      <c r="N106" s="269"/>
      <c r="O106" s="269"/>
      <c r="P106" s="269"/>
      <c r="Q106" s="269"/>
      <c r="R106" s="269"/>
    </row>
    <row r="107" spans="1:18" hidden="1" x14ac:dyDescent="0.25"/>
    <row r="108" spans="1:18" ht="18" hidden="1" customHeight="1" x14ac:dyDescent="0.25">
      <c r="A108" s="263"/>
      <c r="B108" s="263"/>
      <c r="C108" s="275" t="s">
        <v>486</v>
      </c>
      <c r="D108" s="277">
        <v>0</v>
      </c>
      <c r="E108" s="277">
        <v>0</v>
      </c>
      <c r="F108" s="277">
        <v>0</v>
      </c>
      <c r="G108" s="277">
        <v>0</v>
      </c>
      <c r="H108" s="272">
        <v>0</v>
      </c>
      <c r="I108" s="272">
        <v>0</v>
      </c>
      <c r="J108" s="269"/>
      <c r="K108" s="269"/>
      <c r="L108" s="269"/>
      <c r="M108" s="269"/>
      <c r="N108" s="269"/>
      <c r="O108" s="269"/>
      <c r="P108" s="269"/>
      <c r="Q108" s="269"/>
      <c r="R108" s="269"/>
    </row>
    <row r="109" spans="1:18" ht="18" hidden="1" customHeight="1" x14ac:dyDescent="0.25">
      <c r="A109" s="263"/>
      <c r="B109" s="263"/>
      <c r="C109" s="273" t="s">
        <v>481</v>
      </c>
      <c r="D109" s="277">
        <v>0</v>
      </c>
      <c r="E109" s="277">
        <v>0</v>
      </c>
      <c r="F109" s="277">
        <v>0</v>
      </c>
      <c r="G109" s="277">
        <v>0</v>
      </c>
      <c r="H109" s="272">
        <v>0</v>
      </c>
      <c r="I109" s="272">
        <v>0</v>
      </c>
      <c r="J109" s="269"/>
      <c r="K109" s="269"/>
      <c r="L109" s="269"/>
      <c r="M109" s="269"/>
      <c r="N109" s="269"/>
      <c r="O109" s="269"/>
      <c r="P109" s="269"/>
      <c r="Q109" s="269"/>
      <c r="R109" s="269"/>
    </row>
    <row r="110" spans="1:18" ht="18" hidden="1" customHeight="1" x14ac:dyDescent="0.25">
      <c r="A110" s="263"/>
      <c r="B110" s="263"/>
      <c r="C110" s="273" t="s">
        <v>482</v>
      </c>
      <c r="D110" s="277">
        <v>0</v>
      </c>
      <c r="E110" s="277">
        <v>0</v>
      </c>
      <c r="F110" s="277">
        <v>0</v>
      </c>
      <c r="G110" s="277">
        <v>0</v>
      </c>
      <c r="H110" s="272">
        <v>0</v>
      </c>
      <c r="I110" s="272">
        <v>0</v>
      </c>
      <c r="J110" s="269"/>
      <c r="K110" s="269"/>
      <c r="L110" s="269"/>
      <c r="M110" s="269"/>
      <c r="N110" s="269"/>
      <c r="O110" s="269"/>
      <c r="P110" s="269"/>
      <c r="Q110" s="269"/>
      <c r="R110" s="269"/>
    </row>
    <row r="111" spans="1:18" ht="18" hidden="1" customHeight="1" x14ac:dyDescent="0.25">
      <c r="A111" s="263"/>
      <c r="B111" s="263"/>
      <c r="C111" s="273" t="s">
        <v>483</v>
      </c>
      <c r="D111" s="277">
        <v>0</v>
      </c>
      <c r="E111" s="277">
        <v>0</v>
      </c>
      <c r="F111" s="277">
        <v>0</v>
      </c>
      <c r="G111" s="277">
        <v>0</v>
      </c>
      <c r="H111" s="272">
        <v>0</v>
      </c>
      <c r="I111" s="272">
        <v>0</v>
      </c>
      <c r="J111" s="269"/>
      <c r="K111" s="269"/>
      <c r="L111" s="269"/>
      <c r="M111" s="269"/>
      <c r="N111" s="269"/>
      <c r="O111" s="269"/>
      <c r="P111" s="269"/>
      <c r="Q111" s="269"/>
      <c r="R111" s="269"/>
    </row>
    <row r="112" spans="1:18" ht="18" hidden="1" customHeight="1" x14ac:dyDescent="0.25">
      <c r="A112" s="263"/>
      <c r="B112" s="263"/>
      <c r="C112" s="273" t="s">
        <v>484</v>
      </c>
      <c r="D112" s="277">
        <v>0</v>
      </c>
      <c r="E112" s="277">
        <v>0</v>
      </c>
      <c r="F112" s="277">
        <v>0</v>
      </c>
      <c r="G112" s="277">
        <v>0</v>
      </c>
      <c r="H112" s="272">
        <v>0</v>
      </c>
      <c r="I112" s="272">
        <v>0</v>
      </c>
      <c r="J112" s="269"/>
      <c r="K112" s="269"/>
      <c r="L112" s="269"/>
      <c r="M112" s="269"/>
      <c r="N112" s="269"/>
      <c r="O112" s="269"/>
      <c r="P112" s="269"/>
      <c r="Q112" s="269"/>
      <c r="R112" s="269"/>
    </row>
    <row r="113" spans="1:18" hidden="1" x14ac:dyDescent="0.25"/>
    <row r="114" spans="1:18" ht="18" hidden="1" customHeight="1" x14ac:dyDescent="0.25">
      <c r="A114" s="263"/>
      <c r="B114" s="263"/>
      <c r="C114" s="275" t="s">
        <v>487</v>
      </c>
      <c r="D114" s="277">
        <v>0</v>
      </c>
      <c r="E114" s="277">
        <v>0</v>
      </c>
      <c r="F114" s="277">
        <v>0</v>
      </c>
      <c r="G114" s="277">
        <v>0</v>
      </c>
      <c r="H114" s="277">
        <v>0</v>
      </c>
      <c r="I114" s="272">
        <v>0</v>
      </c>
      <c r="J114" s="269"/>
      <c r="K114" s="269"/>
      <c r="L114" s="269"/>
      <c r="M114" s="269"/>
      <c r="N114" s="269"/>
      <c r="O114" s="269"/>
      <c r="P114" s="269"/>
      <c r="Q114" s="269"/>
      <c r="R114" s="269"/>
    </row>
    <row r="115" spans="1:18" ht="18" hidden="1" customHeight="1" x14ac:dyDescent="0.25">
      <c r="A115" s="263"/>
      <c r="B115" s="263"/>
      <c r="C115" s="273" t="s">
        <v>481</v>
      </c>
      <c r="D115" s="277">
        <v>0</v>
      </c>
      <c r="E115" s="277">
        <v>0</v>
      </c>
      <c r="F115" s="277">
        <v>0</v>
      </c>
      <c r="G115" s="277">
        <v>0</v>
      </c>
      <c r="H115" s="277">
        <v>0</v>
      </c>
      <c r="I115" s="272">
        <v>0</v>
      </c>
      <c r="J115" s="269"/>
      <c r="K115" s="269"/>
      <c r="L115" s="269"/>
      <c r="M115" s="269"/>
      <c r="N115" s="269"/>
      <c r="O115" s="269"/>
      <c r="P115" s="269"/>
      <c r="Q115" s="269"/>
      <c r="R115" s="269"/>
    </row>
    <row r="116" spans="1:18" ht="18" hidden="1" customHeight="1" x14ac:dyDescent="0.25">
      <c r="A116" s="263"/>
      <c r="B116" s="263"/>
      <c r="C116" s="273" t="s">
        <v>482</v>
      </c>
      <c r="D116" s="277">
        <v>0</v>
      </c>
      <c r="E116" s="277">
        <v>0</v>
      </c>
      <c r="F116" s="277">
        <v>0</v>
      </c>
      <c r="G116" s="277">
        <v>0</v>
      </c>
      <c r="H116" s="277">
        <v>0</v>
      </c>
      <c r="I116" s="272">
        <v>0</v>
      </c>
      <c r="J116" s="269"/>
      <c r="K116" s="269"/>
      <c r="L116" s="269"/>
      <c r="M116" s="269"/>
      <c r="N116" s="269"/>
      <c r="O116" s="269"/>
      <c r="P116" s="269"/>
      <c r="Q116" s="269"/>
      <c r="R116" s="269"/>
    </row>
    <row r="117" spans="1:18" ht="18" hidden="1" customHeight="1" x14ac:dyDescent="0.25">
      <c r="A117" s="263"/>
      <c r="B117" s="263"/>
      <c r="C117" s="273" t="s">
        <v>483</v>
      </c>
      <c r="D117" s="277">
        <v>0</v>
      </c>
      <c r="E117" s="277">
        <v>0</v>
      </c>
      <c r="F117" s="277">
        <v>0</v>
      </c>
      <c r="G117" s="277">
        <v>0</v>
      </c>
      <c r="H117" s="277">
        <v>0</v>
      </c>
      <c r="I117" s="272">
        <v>0</v>
      </c>
      <c r="J117" s="269"/>
      <c r="K117" s="269"/>
      <c r="L117" s="269"/>
      <c r="M117" s="269"/>
      <c r="N117" s="269"/>
      <c r="O117" s="269"/>
      <c r="P117" s="269"/>
      <c r="Q117" s="269"/>
      <c r="R117" s="269"/>
    </row>
    <row r="118" spans="1:18" ht="18" hidden="1" customHeight="1" x14ac:dyDescent="0.25">
      <c r="A118" s="263"/>
      <c r="B118" s="263"/>
      <c r="C118" s="273" t="s">
        <v>484</v>
      </c>
      <c r="D118" s="277">
        <v>0</v>
      </c>
      <c r="E118" s="277">
        <v>0</v>
      </c>
      <c r="F118" s="277">
        <v>0</v>
      </c>
      <c r="G118" s="277">
        <v>0</v>
      </c>
      <c r="H118" s="277">
        <v>0</v>
      </c>
      <c r="I118" s="272">
        <v>0</v>
      </c>
      <c r="J118" s="269"/>
      <c r="K118" s="269"/>
      <c r="L118" s="269"/>
      <c r="M118" s="269"/>
      <c r="N118" s="269"/>
      <c r="O118" s="269"/>
      <c r="P118" s="269"/>
      <c r="Q118" s="269"/>
      <c r="R118" s="269"/>
    </row>
    <row r="119" spans="1:18" hidden="1" x14ac:dyDescent="0.25"/>
    <row r="120" spans="1:18" x14ac:dyDescent="0.25">
      <c r="E120" s="327"/>
      <c r="F120" s="327"/>
      <c r="G120" s="327"/>
      <c r="H120" s="327"/>
      <c r="I120" s="327"/>
    </row>
  </sheetData>
  <mergeCells count="7">
    <mergeCell ref="I1:I2"/>
    <mergeCell ref="C1:C2"/>
    <mergeCell ref="D1:D2"/>
    <mergeCell ref="E1:E2"/>
    <mergeCell ref="F1:F2"/>
    <mergeCell ref="G1:G2"/>
    <mergeCell ref="H1:H2"/>
  </mergeCells>
  <conditionalFormatting sqref="C32">
    <cfRule type="cellIs" dxfId="3" priority="13" operator="lessThan">
      <formula>0</formula>
    </cfRule>
  </conditionalFormatting>
  <conditionalFormatting sqref="D7:I8">
    <cfRule type="cellIs" dxfId="2" priority="6" operator="lessThan">
      <formula>0</formula>
    </cfRule>
  </conditionalFormatting>
  <conditionalFormatting sqref="D13:I13 E25:I25 C25:D30">
    <cfRule type="cellIs" dxfId="1" priority="15" operator="lessThan">
      <formula>0</formula>
    </cfRule>
  </conditionalFormatting>
  <conditionalFormatting sqref="E15:I15">
    <cfRule type="cellIs" dxfId="0" priority="1" operator="lessThan">
      <formula>0</formula>
    </cfRule>
  </conditionalFormatting>
  <dataValidations count="2">
    <dataValidation type="decimal" allowBlank="1" showInputMessage="1" showErrorMessage="1" error="Has to be a number between 0 and 1." sqref="E18:H18" xr:uid="{99881ABD-7C54-4BC3-A232-6525EECA9FCC}">
      <formula1>0</formula1>
      <formula2>1</formula2>
    </dataValidation>
    <dataValidation type="decimal" operator="greaterThanOrEqual" allowBlank="1" showInputMessage="1" showErrorMessage="1" error="It has to be a number equal to or greater than 0." sqref="D83:I83 E16:H17 D26:D30 D13:I13 D39:I39 E9:I12 D7:I8" xr:uid="{CED4D7E0-0C8A-4B8A-A44B-83419F55FA44}">
      <formula1>0</formula1>
    </dataValidation>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4BC9D36027BB41817C28DDF3AFE68D" ma:contentTypeVersion="8" ma:contentTypeDescription="Create a new document." ma:contentTypeScope="" ma:versionID="508738360e5aa34af93fc5e95567129d">
  <xsd:schema xmlns:xsd="http://www.w3.org/2001/XMLSchema" xmlns:xs="http://www.w3.org/2001/XMLSchema" xmlns:p="http://schemas.microsoft.com/office/2006/metadata/properties" xmlns:ns2="71ce4512-10b9-4418-b8d2-083ad73225cd" targetNamespace="http://schemas.microsoft.com/office/2006/metadata/properties" ma:root="true" ma:fieldsID="04150689646f71447d46332f119eb58c" ns2:_="">
    <xsd:import namespace="71ce4512-10b9-4418-b8d2-083ad73225cd"/>
    <xsd:element name="properties">
      <xsd:complexType>
        <xsd:sequence>
          <xsd:element name="documentManagement">
            <xsd:complexType>
              <xsd:all>
                <xsd:element ref="ns2:ReferenceId"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ce4512-10b9-4418-b8d2-083ad73225cd" elementFormDefault="qualified">
    <xsd:import namespace="http://schemas.microsoft.com/office/2006/documentManagement/types"/>
    <xsd:import namespace="http://schemas.microsoft.com/office/infopath/2007/PartnerControls"/>
    <xsd:element name="ReferenceId" ma:index="8" nillable="true" ma:displayName="ReferenceId" ma:indexed="true" ma:internalName="ReferenceId">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erenceId xmlns="71ce4512-10b9-4418-b8d2-083ad73225cd" xsi:nil="true"/>
  </documentManagement>
</p:properties>
</file>

<file path=customXml/itemProps1.xml><?xml version="1.0" encoding="utf-8"?>
<ds:datastoreItem xmlns:ds="http://schemas.openxmlformats.org/officeDocument/2006/customXml" ds:itemID="{0077F389-C6F1-425A-95F0-B486A55C65DB}"/>
</file>

<file path=customXml/itemProps2.xml><?xml version="1.0" encoding="utf-8"?>
<ds:datastoreItem xmlns:ds="http://schemas.openxmlformats.org/officeDocument/2006/customXml" ds:itemID="{8893236F-23C3-443E-ABB0-ED83A99C07EA}"/>
</file>

<file path=customXml/itemProps3.xml><?xml version="1.0" encoding="utf-8"?>
<ds:datastoreItem xmlns:ds="http://schemas.openxmlformats.org/officeDocument/2006/customXml" ds:itemID="{672D5620-41A9-4D23-B2A3-1AA58D3878A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13</vt:i4>
      </vt:variant>
    </vt:vector>
  </HeadingPairs>
  <TitlesOfParts>
    <vt:vector size="18" baseType="lpstr">
      <vt:lpstr>Operations</vt:lpstr>
      <vt:lpstr>Bottom_Up_Calculations</vt:lpstr>
      <vt:lpstr>Statements</vt:lpstr>
      <vt:lpstr>Valuation</vt:lpstr>
      <vt:lpstr>Cap Table</vt:lpstr>
      <vt:lpstr>AnnualChurnPrem</vt:lpstr>
      <vt:lpstr>AnnualChurnPro</vt:lpstr>
      <vt:lpstr>COGSMethod</vt:lpstr>
      <vt:lpstr>CompanyName</vt:lpstr>
      <vt:lpstr>Lead_to_Free</vt:lpstr>
      <vt:lpstr>Lead_to_Prem</vt:lpstr>
      <vt:lpstr>Lead_to_Pro</vt:lpstr>
      <vt:lpstr>Leads_Start</vt:lpstr>
      <vt:lpstr>MoM_Growth</vt:lpstr>
      <vt:lpstr>Retention_Prem</vt:lpstr>
      <vt:lpstr>Retention_Pro</vt:lpstr>
      <vt:lpstr>StartDate</vt:lpstr>
      <vt:lpstr>SubHeader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Ravi Chaudhary</dc:creator>
  <cp:keywords/>
  <dc:description/>
  <cp:lastModifiedBy>Ravi Chaudhary</cp:lastModifiedBy>
  <cp:revision/>
  <dcterms:created xsi:type="dcterms:W3CDTF">2026-01-18T10:07:23Z</dcterms:created>
  <dcterms:modified xsi:type="dcterms:W3CDTF">2026-01-31T19:09:16Z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0x010100CB4BC9D36027BB41817C28DDF3AFE68D</vt:lpwstr>
  </property>
</Properties>
</file>