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8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vic\Downloads\Innovation and business planning assignment submissions\"/>
    </mc:Choice>
  </mc:AlternateContent>
  <xr:revisionPtr revIDLastSave="0" documentId="13_ncr:1_{5C288444-EB97-4FA0-9F5C-74215C47B9A6}" xr6:coauthVersionLast="47" xr6:coauthVersionMax="47" xr10:uidLastSave="{00000000-0000-0000-0000-000000000000}"/>
  <bookViews>
    <workbookView xWindow="-120" yWindow="-120" windowWidth="38640" windowHeight="15720" tabRatio="719" xr2:uid="{00000000-000D-0000-FFFF-FFFF00000000}"/>
  </bookViews>
  <sheets>
    <sheet name="Intro" sheetId="1" r:id="rId1"/>
    <sheet name="Revenues -&gt;" sheetId="5" r:id="rId2"/>
    <sheet name="Top-Down" sheetId="2" r:id="rId3"/>
    <sheet name="Bottom-Up" sheetId="3" r:id="rId4"/>
    <sheet name="Revenues" sheetId="14" r:id="rId5"/>
    <sheet name="Costs -&gt;" sheetId="13" r:id="rId6"/>
    <sheet name="COGS" sheetId="10" r:id="rId7"/>
    <sheet name="Payroll" sheetId="15" r:id="rId8"/>
    <sheet name="Other Operating Expenses" sheetId="11" r:id="rId9"/>
    <sheet name="Capital Expenses" sheetId="12" r:id="rId10"/>
    <sheet name="Total Expenses" sheetId="4" r:id="rId11"/>
    <sheet name="Working Capital" sheetId="23" r:id="rId12"/>
    <sheet name="Financing" sheetId="17" r:id="rId13"/>
    <sheet name="Statements -&gt;" sheetId="6" r:id="rId14"/>
    <sheet name="Cash Flow" sheetId="18" r:id="rId15"/>
    <sheet name="Income Statement" sheetId="19" r:id="rId16"/>
    <sheet name="Balance Sheet" sheetId="20" r:id="rId17"/>
    <sheet name="Other -&gt;" sheetId="21" r:id="rId18"/>
    <sheet name="Profiltability" sheetId="22" r:id="rId19"/>
    <sheet name="DCF Valuation" sheetId="24" r:id="rId20"/>
  </sheets>
  <definedNames>
    <definedName name="COGSMethod">COGS!$B$5:$B$6</definedName>
    <definedName name="CompanyName">Intro!$B$19</definedName>
    <definedName name="enter_here_date">COGS!$B$17</definedName>
    <definedName name="StartDate">Intro!$B$21</definedName>
    <definedName name="SubHeader">Intro!$B$23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0" l="1"/>
  <c r="J21" i="15"/>
  <c r="J20" i="15"/>
  <c r="J19" i="15"/>
  <c r="J18" i="15"/>
  <c r="J17" i="15"/>
  <c r="F21" i="15"/>
  <c r="F20" i="15"/>
  <c r="F19" i="15"/>
  <c r="F18" i="15"/>
  <c r="F17" i="15"/>
  <c r="B21" i="15"/>
  <c r="B20" i="15"/>
  <c r="B19" i="15"/>
  <c r="B18" i="15"/>
  <c r="B17" i="15"/>
  <c r="J11" i="15"/>
  <c r="J10" i="15"/>
  <c r="J9" i="15"/>
  <c r="J8" i="15"/>
  <c r="J7" i="15"/>
  <c r="F11" i="15"/>
  <c r="F10" i="15"/>
  <c r="F9" i="15"/>
  <c r="F8" i="15"/>
  <c r="F7" i="15"/>
  <c r="B11" i="15"/>
  <c r="B10" i="15"/>
  <c r="B9" i="15"/>
  <c r="B8" i="15"/>
  <c r="B7" i="15"/>
  <c r="F12" i="10"/>
  <c r="M34" i="2"/>
  <c r="N34" i="2" s="1"/>
  <c r="L34" i="2"/>
  <c r="M33" i="2"/>
  <c r="N33" i="2" s="1"/>
  <c r="L33" i="2"/>
  <c r="H21" i="24"/>
  <c r="G21" i="24"/>
  <c r="F21" i="24"/>
  <c r="E21" i="24"/>
  <c r="D21" i="24"/>
  <c r="C21" i="24"/>
  <c r="B21" i="24"/>
  <c r="AA53" i="18"/>
  <c r="AA52" i="18"/>
  <c r="AA25" i="18"/>
  <c r="B40" i="18"/>
  <c r="F9" i="3"/>
  <c r="B9" i="3"/>
  <c r="J27" i="10"/>
  <c r="A51" i="10" s="1"/>
  <c r="F27" i="10"/>
  <c r="A50" i="10" s="1"/>
  <c r="B27" i="10"/>
  <c r="A49" i="10" s="1"/>
  <c r="B17" i="10" l="1"/>
  <c r="B26" i="3" l="1"/>
  <c r="C26" i="3"/>
  <c r="C18" i="14"/>
  <c r="C20" i="10" s="1"/>
  <c r="B28" i="17"/>
  <c r="A17" i="3"/>
  <c r="A26" i="3"/>
  <c r="D26" i="3"/>
  <c r="E26" i="3"/>
  <c r="E18" i="14" s="1"/>
  <c r="E20" i="10" s="1"/>
  <c r="F26" i="3"/>
  <c r="G26" i="3"/>
  <c r="H26" i="3"/>
  <c r="I26" i="3"/>
  <c r="K26" i="3"/>
  <c r="T26" i="3" s="1"/>
  <c r="L26" i="3"/>
  <c r="U26" i="3" s="1"/>
  <c r="M26" i="3"/>
  <c r="V26" i="3" s="1"/>
  <c r="N26" i="3"/>
  <c r="W26" i="3" s="1"/>
  <c r="K25" i="3"/>
  <c r="T25" i="3" s="1"/>
  <c r="E24" i="3"/>
  <c r="B25" i="3"/>
  <c r="B17" i="14" s="1"/>
  <c r="K24" i="3"/>
  <c r="M25" i="3"/>
  <c r="V25" i="3" s="1"/>
  <c r="N25" i="3"/>
  <c r="W25" i="3" s="1"/>
  <c r="G24" i="3"/>
  <c r="G16" i="14" s="1"/>
  <c r="G18" i="10" s="1"/>
  <c r="L24" i="3"/>
  <c r="L16" i="14" s="1"/>
  <c r="U27" i="14" s="1"/>
  <c r="E25" i="3"/>
  <c r="B18" i="11"/>
  <c r="C18" i="11" s="1"/>
  <c r="B12" i="15"/>
  <c r="M43" i="15" s="1"/>
  <c r="V26" i="15" s="1"/>
  <c r="F12" i="15"/>
  <c r="N44" i="15" s="1"/>
  <c r="W27" i="15" s="1"/>
  <c r="J12" i="15"/>
  <c r="L45" i="15" s="1"/>
  <c r="U28" i="15" s="1"/>
  <c r="B22" i="15"/>
  <c r="K46" i="15" s="1"/>
  <c r="T29" i="15" s="1"/>
  <c r="F22" i="15"/>
  <c r="K47" i="15" s="1"/>
  <c r="T30" i="15" s="1"/>
  <c r="J22" i="15"/>
  <c r="N48" i="15" s="1"/>
  <c r="W31" i="15" s="1"/>
  <c r="R10" i="18"/>
  <c r="A27" i="2"/>
  <c r="A26" i="2"/>
  <c r="A25" i="2"/>
  <c r="B24" i="2"/>
  <c r="C24" i="2" s="1"/>
  <c r="D24" i="2" s="1"/>
  <c r="E24" i="2" s="1"/>
  <c r="F24" i="2" s="1"/>
  <c r="G24" i="2" s="1"/>
  <c r="H24" i="2" s="1"/>
  <c r="I24" i="2" s="1"/>
  <c r="K24" i="2" s="1"/>
  <c r="L24" i="2" s="1"/>
  <c r="M24" i="2" s="1"/>
  <c r="N24" i="2" s="1"/>
  <c r="A19" i="2"/>
  <c r="A18" i="2"/>
  <c r="A17" i="2"/>
  <c r="B16" i="2"/>
  <c r="C16" i="2" s="1"/>
  <c r="D16" i="2" s="1"/>
  <c r="E16" i="2" s="1"/>
  <c r="F16" i="2" s="1"/>
  <c r="G16" i="2" s="1"/>
  <c r="H16" i="2" s="1"/>
  <c r="I16" i="2" s="1"/>
  <c r="K16" i="2" s="1"/>
  <c r="L16" i="2" s="1"/>
  <c r="M16" i="2" s="1"/>
  <c r="N16" i="2" s="1"/>
  <c r="A2" i="24"/>
  <c r="R22" i="18"/>
  <c r="Q10" i="22"/>
  <c r="Q11" i="22"/>
  <c r="Q12" i="22"/>
  <c r="Q8" i="22"/>
  <c r="Q9" i="22"/>
  <c r="Q1" i="18"/>
  <c r="Q33" i="18"/>
  <c r="Q31" i="18"/>
  <c r="Q29" i="18"/>
  <c r="Q28" i="18"/>
  <c r="Q27" i="18"/>
  <c r="Q26" i="18"/>
  <c r="Q25" i="18"/>
  <c r="Q23" i="18"/>
  <c r="W22" i="18"/>
  <c r="V22" i="18"/>
  <c r="U22" i="18"/>
  <c r="T22" i="18"/>
  <c r="S22" i="18"/>
  <c r="Q22" i="18"/>
  <c r="Q21" i="18"/>
  <c r="Q20" i="18"/>
  <c r="Q18" i="18"/>
  <c r="Q17" i="18"/>
  <c r="Q15" i="18"/>
  <c r="Q14" i="18"/>
  <c r="Q13" i="18"/>
  <c r="Q12" i="18"/>
  <c r="Q10" i="18"/>
  <c r="AA1" i="18"/>
  <c r="AA26" i="18"/>
  <c r="Q1" i="20"/>
  <c r="Q22" i="20"/>
  <c r="Q21" i="20"/>
  <c r="Q19" i="20"/>
  <c r="Q18" i="20"/>
  <c r="Q16" i="20"/>
  <c r="Q13" i="20"/>
  <c r="Q12" i="20"/>
  <c r="Q11" i="20"/>
  <c r="Q10" i="20"/>
  <c r="Q25" i="19"/>
  <c r="Q24" i="19"/>
  <c r="Q22" i="19"/>
  <c r="Q21" i="19"/>
  <c r="Q19" i="19"/>
  <c r="Q18" i="19"/>
  <c r="Q16" i="19"/>
  <c r="Q15" i="19"/>
  <c r="Q13" i="19"/>
  <c r="Q12" i="19"/>
  <c r="Q11" i="19"/>
  <c r="Q10" i="19"/>
  <c r="Q1" i="19"/>
  <c r="Q26" i="4"/>
  <c r="Q27" i="4"/>
  <c r="Q25" i="4"/>
  <c r="Q1" i="4"/>
  <c r="Q55" i="12"/>
  <c r="Q37" i="12"/>
  <c r="Q19" i="12"/>
  <c r="Z1" i="12"/>
  <c r="Q1" i="12"/>
  <c r="W26" i="11"/>
  <c r="V26" i="11"/>
  <c r="U26" i="11"/>
  <c r="T26" i="11"/>
  <c r="S26" i="11"/>
  <c r="R26" i="11"/>
  <c r="Q1" i="11"/>
  <c r="Q34" i="11"/>
  <c r="Q26" i="11"/>
  <c r="B36" i="15"/>
  <c r="A35" i="15"/>
  <c r="A48" i="15" s="1"/>
  <c r="Q31" i="15" s="1"/>
  <c r="A34" i="15"/>
  <c r="A47" i="15" s="1"/>
  <c r="Q30" i="15" s="1"/>
  <c r="A33" i="15"/>
  <c r="A46" i="15" s="1"/>
  <c r="Q29" i="15" s="1"/>
  <c r="A32" i="15"/>
  <c r="A45" i="15" s="1"/>
  <c r="Q28" i="15" s="1"/>
  <c r="C36" i="15"/>
  <c r="D36" i="15"/>
  <c r="E36" i="15"/>
  <c r="F36" i="15"/>
  <c r="H36" i="15"/>
  <c r="G36" i="15"/>
  <c r="Q1" i="10"/>
  <c r="Q51" i="10"/>
  <c r="I36" i="15"/>
  <c r="Q1" i="14"/>
  <c r="Q1" i="3"/>
  <c r="K36" i="15"/>
  <c r="L36" i="15"/>
  <c r="A16" i="18"/>
  <c r="Q16" i="18" s="1"/>
  <c r="A20" i="20"/>
  <c r="Q20" i="20" s="1"/>
  <c r="A15" i="20"/>
  <c r="Q15" i="20" s="1"/>
  <c r="A14" i="20"/>
  <c r="Q14" i="20" s="1"/>
  <c r="B25" i="23"/>
  <c r="C25" i="23" s="1"/>
  <c r="D25" i="23" s="1"/>
  <c r="E25" i="23" s="1"/>
  <c r="F25" i="23" s="1"/>
  <c r="G25" i="23" s="1"/>
  <c r="H25" i="23" s="1"/>
  <c r="I25" i="23" s="1"/>
  <c r="K25" i="23" s="1"/>
  <c r="L25" i="23" s="1"/>
  <c r="M25" i="23" s="1"/>
  <c r="N25" i="23" s="1"/>
  <c r="A2" i="23"/>
  <c r="B11" i="23"/>
  <c r="C11" i="23" s="1"/>
  <c r="D11" i="23" s="1"/>
  <c r="E11" i="23" s="1"/>
  <c r="F11" i="23" s="1"/>
  <c r="G11" i="23" s="1"/>
  <c r="H11" i="23" s="1"/>
  <c r="I11" i="23" s="1"/>
  <c r="K11" i="23" s="1"/>
  <c r="L11" i="23" s="1"/>
  <c r="M11" i="23" s="1"/>
  <c r="N11" i="23" s="1"/>
  <c r="N36" i="15"/>
  <c r="M36" i="15"/>
  <c r="B7" i="22"/>
  <c r="C7" i="22" s="1"/>
  <c r="D7" i="22" s="1"/>
  <c r="E7" i="22" s="1"/>
  <c r="F7" i="22" s="1"/>
  <c r="B8" i="20"/>
  <c r="B8" i="19"/>
  <c r="C8" i="19" s="1"/>
  <c r="D8" i="19" s="1"/>
  <c r="E8" i="19" s="1"/>
  <c r="F8" i="19" s="1"/>
  <c r="B8" i="18"/>
  <c r="B39" i="18" s="1"/>
  <c r="K6" i="4"/>
  <c r="B6" i="4"/>
  <c r="K54" i="17"/>
  <c r="B54" i="17"/>
  <c r="K41" i="17"/>
  <c r="B41" i="17"/>
  <c r="K26" i="17"/>
  <c r="B26" i="17"/>
  <c r="B43" i="17"/>
  <c r="C43" i="17" s="1"/>
  <c r="B56" i="17"/>
  <c r="C56" i="17" s="1"/>
  <c r="D56" i="17" s="1"/>
  <c r="E56" i="17" s="1"/>
  <c r="F56" i="17" s="1"/>
  <c r="G56" i="17" s="1"/>
  <c r="H56" i="17" s="1"/>
  <c r="I56" i="17" s="1"/>
  <c r="K56" i="17" s="1"/>
  <c r="L56" i="17" s="1"/>
  <c r="M56" i="17" s="1"/>
  <c r="N56" i="17" s="1"/>
  <c r="B8" i="4"/>
  <c r="C8" i="4" s="1"/>
  <c r="D8" i="4" s="1"/>
  <c r="E8" i="4" s="1"/>
  <c r="F8" i="4" s="1"/>
  <c r="B58" i="12"/>
  <c r="R59" i="12" s="1"/>
  <c r="B22" i="12"/>
  <c r="C22" i="12" s="1"/>
  <c r="D22" i="12" s="1"/>
  <c r="E22" i="12" s="1"/>
  <c r="F22" i="12" s="1"/>
  <c r="B40" i="12"/>
  <c r="B29" i="15"/>
  <c r="C29" i="15" s="1"/>
  <c r="D29" i="15" s="1"/>
  <c r="E29" i="15" s="1"/>
  <c r="F29" i="15" s="1"/>
  <c r="G29" i="15" s="1"/>
  <c r="H29" i="15" s="1"/>
  <c r="I29" i="15" s="1"/>
  <c r="K29" i="15" s="1"/>
  <c r="L29" i="15" s="1"/>
  <c r="M29" i="15" s="1"/>
  <c r="N29" i="15" s="1"/>
  <c r="B42" i="15"/>
  <c r="C42" i="15" s="1"/>
  <c r="D42" i="15" s="1"/>
  <c r="E42" i="15" s="1"/>
  <c r="F42" i="15" s="1"/>
  <c r="A26" i="10"/>
  <c r="B48" i="10"/>
  <c r="R25" i="11"/>
  <c r="B15" i="14"/>
  <c r="C15" i="14" s="1"/>
  <c r="D15" i="14" s="1"/>
  <c r="E15" i="14" s="1"/>
  <c r="F15" i="14" s="1"/>
  <c r="A25" i="3"/>
  <c r="A24" i="3"/>
  <c r="B23" i="3"/>
  <c r="R23" i="3" s="1"/>
  <c r="A16" i="3"/>
  <c r="A15" i="3"/>
  <c r="B14" i="3"/>
  <c r="C14" i="3" s="1"/>
  <c r="D14" i="3" s="1"/>
  <c r="E14" i="3" s="1"/>
  <c r="F14" i="3" s="1"/>
  <c r="G14" i="3" s="1"/>
  <c r="H14" i="3" s="1"/>
  <c r="I14" i="3" s="1"/>
  <c r="K14" i="3" s="1"/>
  <c r="L14" i="3" s="1"/>
  <c r="M14" i="3" s="1"/>
  <c r="N14" i="3" s="1"/>
  <c r="Q1" i="2"/>
  <c r="B32" i="2"/>
  <c r="C32" i="2" s="1"/>
  <c r="D32" i="2" s="1"/>
  <c r="E32" i="2" s="1"/>
  <c r="F32" i="2" s="1"/>
  <c r="G32" i="2" s="1"/>
  <c r="H32" i="2" s="1"/>
  <c r="I32" i="2" s="1"/>
  <c r="K32" i="2" s="1"/>
  <c r="L32" i="2" s="1"/>
  <c r="M32" i="2" s="1"/>
  <c r="N32" i="2" s="1"/>
  <c r="A44" i="2"/>
  <c r="Q27" i="2" s="1"/>
  <c r="A43" i="2"/>
  <c r="Q26" i="2" s="1"/>
  <c r="A42" i="2"/>
  <c r="Q25" i="2"/>
  <c r="A35" i="2"/>
  <c r="A34" i="2"/>
  <c r="A33" i="2"/>
  <c r="B41" i="2"/>
  <c r="B18" i="2" s="1"/>
  <c r="B43" i="2" s="1"/>
  <c r="A2" i="22"/>
  <c r="A2" i="20"/>
  <c r="A2" i="19"/>
  <c r="A2" i="18"/>
  <c r="D18" i="14"/>
  <c r="D20" i="10" s="1"/>
  <c r="C62" i="17"/>
  <c r="D62" i="17"/>
  <c r="D21" i="19" s="1"/>
  <c r="E62" i="17"/>
  <c r="E21" i="19" s="1"/>
  <c r="F62" i="17"/>
  <c r="F28" i="18" s="1"/>
  <c r="G62" i="17"/>
  <c r="G21" i="19" s="1"/>
  <c r="H62" i="17"/>
  <c r="H21" i="19" s="1"/>
  <c r="I62" i="17"/>
  <c r="K62" i="17"/>
  <c r="L62" i="17"/>
  <c r="M62" i="17"/>
  <c r="M28" i="18" s="1"/>
  <c r="V28" i="18" s="1"/>
  <c r="N62" i="17"/>
  <c r="B62" i="17"/>
  <c r="B28" i="18" s="1"/>
  <c r="A58" i="17"/>
  <c r="A59" i="17"/>
  <c r="A60" i="17"/>
  <c r="A61" i="17"/>
  <c r="A57" i="17"/>
  <c r="A44" i="17"/>
  <c r="A48" i="17"/>
  <c r="A47" i="17"/>
  <c r="A46" i="17"/>
  <c r="A45" i="17"/>
  <c r="A2" i="17"/>
  <c r="A36" i="17"/>
  <c r="A35" i="17"/>
  <c r="A34" i="17"/>
  <c r="A33" i="17"/>
  <c r="A32" i="17"/>
  <c r="A31" i="17"/>
  <c r="A30" i="17"/>
  <c r="A29" i="17"/>
  <c r="A2" i="4"/>
  <c r="L21" i="19"/>
  <c r="U21" i="19" s="1"/>
  <c r="I28" i="18"/>
  <c r="I21" i="19"/>
  <c r="G28" i="18"/>
  <c r="C28" i="18"/>
  <c r="G18" i="14"/>
  <c r="G20" i="10" s="1"/>
  <c r="F18" i="14"/>
  <c r="H18" i="14"/>
  <c r="H20" i="10" s="1"/>
  <c r="I18" i="14"/>
  <c r="I20" i="10" s="1"/>
  <c r="A42" i="12"/>
  <c r="A24" i="12" s="1"/>
  <c r="A60" i="12" s="1"/>
  <c r="Q61" i="12" s="1"/>
  <c r="A43" i="12"/>
  <c r="A25" i="12" s="1"/>
  <c r="A61" i="12" s="1"/>
  <c r="Q62" i="12" s="1"/>
  <c r="A44" i="12"/>
  <c r="Q45" i="12" s="1"/>
  <c r="A45" i="12"/>
  <c r="A46" i="12"/>
  <c r="A28" i="12" s="1"/>
  <c r="A47" i="12"/>
  <c r="Q48" i="12" s="1"/>
  <c r="A48" i="12"/>
  <c r="Q49" i="12" s="1"/>
  <c r="A49" i="12"/>
  <c r="Q50" i="12" s="1"/>
  <c r="A32" i="12"/>
  <c r="Q33" i="12" s="1"/>
  <c r="A33" i="12"/>
  <c r="A69" i="12" s="1"/>
  <c r="A41" i="12"/>
  <c r="Q42" i="12" s="1"/>
  <c r="A2" i="12"/>
  <c r="A2" i="11"/>
  <c r="A20" i="11"/>
  <c r="Q27" i="11" s="1"/>
  <c r="J38" i="10"/>
  <c r="A4" i="15"/>
  <c r="Q1" i="15"/>
  <c r="A2" i="15"/>
  <c r="A31" i="15"/>
  <c r="A44" i="15" s="1"/>
  <c r="Q27" i="15" s="1"/>
  <c r="A30" i="15"/>
  <c r="A43" i="15" s="1"/>
  <c r="Q26" i="15" s="1"/>
  <c r="A2" i="14"/>
  <c r="A2" i="10"/>
  <c r="A2" i="2"/>
  <c r="A2" i="3"/>
  <c r="A21" i="11"/>
  <c r="Q28" i="11" s="1"/>
  <c r="A22" i="11"/>
  <c r="Q29" i="11" s="1"/>
  <c r="A23" i="11"/>
  <c r="Q30" i="11" s="1"/>
  <c r="A24" i="11"/>
  <c r="Q31" i="11"/>
  <c r="A25" i="11"/>
  <c r="Q32" i="11"/>
  <c r="A26" i="11"/>
  <c r="Q33" i="11" s="1"/>
  <c r="F38" i="10"/>
  <c r="B38" i="10"/>
  <c r="E17" i="14"/>
  <c r="E19" i="10" s="1"/>
  <c r="K17" i="14"/>
  <c r="T28" i="14" s="1"/>
  <c r="K16" i="14"/>
  <c r="K18" i="10" s="1"/>
  <c r="T27" i="10" s="1"/>
  <c r="A29" i="12" l="1"/>
  <c r="R24" i="4"/>
  <c r="M18" i="14"/>
  <c r="V29" i="14" s="1"/>
  <c r="K27" i="3"/>
  <c r="E28" i="18"/>
  <c r="U24" i="3"/>
  <c r="N18" i="14"/>
  <c r="W29" i="14" s="1"/>
  <c r="B45" i="17"/>
  <c r="K18" i="14"/>
  <c r="T29" i="14" s="1"/>
  <c r="F21" i="19"/>
  <c r="S21" i="19" s="1"/>
  <c r="B44" i="17"/>
  <c r="B51" i="10"/>
  <c r="L18" i="14"/>
  <c r="U29" i="14" s="1"/>
  <c r="B46" i="17"/>
  <c r="C58" i="12"/>
  <c r="D58" i="12" s="1"/>
  <c r="E58" i="12" s="1"/>
  <c r="F58" i="12" s="1"/>
  <c r="S59" i="12" s="1"/>
  <c r="B21" i="19"/>
  <c r="D28" i="18"/>
  <c r="R28" i="18" s="1"/>
  <c r="A26" i="12"/>
  <c r="Q27" i="12" s="1"/>
  <c r="R7" i="22"/>
  <c r="D43" i="17"/>
  <c r="C45" i="17" s="1"/>
  <c r="Q51" i="12"/>
  <c r="A31" i="12"/>
  <c r="Q32" i="12" s="1"/>
  <c r="H28" i="18"/>
  <c r="S28" i="18" s="1"/>
  <c r="B45" i="15"/>
  <c r="B44" i="15"/>
  <c r="Q26" i="3"/>
  <c r="A18" i="14"/>
  <c r="G45" i="15"/>
  <c r="G44" i="15"/>
  <c r="F45" i="15"/>
  <c r="D45" i="15"/>
  <c r="K44" i="15"/>
  <c r="T27" i="15" s="1"/>
  <c r="Q43" i="12"/>
  <c r="Q47" i="12"/>
  <c r="A23" i="12"/>
  <c r="A59" i="12" s="1"/>
  <c r="Q60" i="12" s="1"/>
  <c r="Q44" i="12"/>
  <c r="Q25" i="12"/>
  <c r="B48" i="15"/>
  <c r="F48" i="15"/>
  <c r="M48" i="15"/>
  <c r="V31" i="15" s="1"/>
  <c r="B47" i="15"/>
  <c r="E47" i="15"/>
  <c r="D47" i="15"/>
  <c r="H47" i="15"/>
  <c r="G47" i="15"/>
  <c r="L47" i="15"/>
  <c r="U30" i="15" s="1"/>
  <c r="C47" i="15"/>
  <c r="M47" i="15"/>
  <c r="V30" i="15" s="1"/>
  <c r="D46" i="15"/>
  <c r="B46" i="15"/>
  <c r="H46" i="15"/>
  <c r="C45" i="15"/>
  <c r="K45" i="15"/>
  <c r="T28" i="15" s="1"/>
  <c r="E45" i="15"/>
  <c r="M45" i="15"/>
  <c r="V28" i="15" s="1"/>
  <c r="M44" i="15"/>
  <c r="V27" i="15" s="1"/>
  <c r="G43" i="15"/>
  <c r="K43" i="15"/>
  <c r="T26" i="15" s="1"/>
  <c r="Q25" i="3"/>
  <c r="A17" i="14"/>
  <c r="A19" i="10" s="1"/>
  <c r="Q28" i="10" s="1"/>
  <c r="A16" i="14"/>
  <c r="A18" i="10" s="1"/>
  <c r="Q27" i="10" s="1"/>
  <c r="B47" i="17"/>
  <c r="R8" i="19"/>
  <c r="C21" i="11"/>
  <c r="C20" i="11"/>
  <c r="AB24" i="18"/>
  <c r="B11" i="24" s="1"/>
  <c r="N46" i="15"/>
  <c r="W29" i="15" s="1"/>
  <c r="C48" i="15"/>
  <c r="H48" i="15"/>
  <c r="K48" i="15"/>
  <c r="T31" i="15" s="1"/>
  <c r="M46" i="15"/>
  <c r="V29" i="15" s="1"/>
  <c r="E48" i="15"/>
  <c r="D48" i="15"/>
  <c r="L48" i="15"/>
  <c r="U31" i="15" s="1"/>
  <c r="I43" i="15"/>
  <c r="N45" i="15"/>
  <c r="W28" i="15" s="1"/>
  <c r="H45" i="15"/>
  <c r="F44" i="15"/>
  <c r="D44" i="15"/>
  <c r="H44" i="15"/>
  <c r="I45" i="15"/>
  <c r="I44" i="15"/>
  <c r="C43" i="15"/>
  <c r="F43" i="15"/>
  <c r="M17" i="14"/>
  <c r="M19" i="10" s="1"/>
  <c r="V28" i="10" s="1"/>
  <c r="Q78" i="10"/>
  <c r="N17" i="14"/>
  <c r="W28" i="14" s="1"/>
  <c r="T24" i="3"/>
  <c r="T27" i="3" s="1"/>
  <c r="Q77" i="10"/>
  <c r="L25" i="3"/>
  <c r="D25" i="3"/>
  <c r="D17" i="14" s="1"/>
  <c r="D19" i="10" s="1"/>
  <c r="G25" i="3"/>
  <c r="H25" i="3"/>
  <c r="H17" i="14" s="1"/>
  <c r="H19" i="10" s="1"/>
  <c r="C25" i="3"/>
  <c r="C17" i="14" s="1"/>
  <c r="C19" i="10" s="1"/>
  <c r="I25" i="3"/>
  <c r="F25" i="3"/>
  <c r="F17" i="14" s="1"/>
  <c r="F19" i="10" s="1"/>
  <c r="Q24" i="3"/>
  <c r="C8" i="18"/>
  <c r="C39" i="18" s="1"/>
  <c r="C46" i="17"/>
  <c r="M20" i="10"/>
  <c r="V29" i="10" s="1"/>
  <c r="C44" i="17"/>
  <c r="R8" i="18"/>
  <c r="AB51" i="18" s="1"/>
  <c r="L18" i="10"/>
  <c r="U27" i="10" s="1"/>
  <c r="A64" i="12"/>
  <c r="Q65" i="12" s="1"/>
  <c r="Q29" i="12"/>
  <c r="Q76" i="10"/>
  <c r="E16" i="14"/>
  <c r="E19" i="14" s="1"/>
  <c r="E27" i="3"/>
  <c r="B21" i="11"/>
  <c r="E43" i="15"/>
  <c r="I47" i="15"/>
  <c r="L43" i="15"/>
  <c r="U26" i="15" s="1"/>
  <c r="M24" i="3"/>
  <c r="B24" i="3"/>
  <c r="B16" i="14" s="1"/>
  <c r="B18" i="10" s="1"/>
  <c r="A68" i="12"/>
  <c r="Q69" i="12" s="1"/>
  <c r="L28" i="18"/>
  <c r="U28" i="18" s="1"/>
  <c r="G46" i="15"/>
  <c r="I46" i="15"/>
  <c r="N47" i="15"/>
  <c r="W30" i="15" s="1"/>
  <c r="N43" i="15"/>
  <c r="W26" i="15" s="1"/>
  <c r="H24" i="3"/>
  <c r="D24" i="3"/>
  <c r="N24" i="3"/>
  <c r="S26" i="3"/>
  <c r="Q26" i="12"/>
  <c r="C46" i="15"/>
  <c r="E46" i="15"/>
  <c r="L46" i="15"/>
  <c r="U29" i="15" s="1"/>
  <c r="C24" i="3"/>
  <c r="C16" i="14" s="1"/>
  <c r="A30" i="12"/>
  <c r="K28" i="18"/>
  <c r="T28" i="18" s="1"/>
  <c r="N28" i="18"/>
  <c r="W28" i="18" s="1"/>
  <c r="B48" i="17"/>
  <c r="B43" i="15"/>
  <c r="H43" i="15"/>
  <c r="F47" i="15"/>
  <c r="D43" i="15"/>
  <c r="I24" i="3"/>
  <c r="F24" i="3"/>
  <c r="F16" i="14" s="1"/>
  <c r="F18" i="10" s="1"/>
  <c r="N21" i="19"/>
  <c r="W21" i="19" s="1"/>
  <c r="C21" i="19"/>
  <c r="R21" i="19" s="1"/>
  <c r="K21" i="19"/>
  <c r="T21" i="19" s="1"/>
  <c r="M21" i="19"/>
  <c r="V21" i="19" s="1"/>
  <c r="C44" i="15"/>
  <c r="B24" i="11"/>
  <c r="G48" i="15"/>
  <c r="F46" i="15"/>
  <c r="E44" i="15"/>
  <c r="I48" i="15"/>
  <c r="L44" i="15"/>
  <c r="U27" i="15" s="1"/>
  <c r="R26" i="14"/>
  <c r="B20" i="11"/>
  <c r="B25" i="11"/>
  <c r="R25" i="15"/>
  <c r="R23" i="12"/>
  <c r="C25" i="11"/>
  <c r="B23" i="11"/>
  <c r="L20" i="10"/>
  <c r="U29" i="10" s="1"/>
  <c r="B26" i="11"/>
  <c r="B22" i="11"/>
  <c r="T27" i="14"/>
  <c r="C23" i="3"/>
  <c r="D23" i="3" s="1"/>
  <c r="E23" i="3" s="1"/>
  <c r="F23" i="3" s="1"/>
  <c r="K19" i="10"/>
  <c r="B19" i="10"/>
  <c r="B49" i="10"/>
  <c r="A27" i="12"/>
  <c r="Q46" i="12"/>
  <c r="A65" i="12"/>
  <c r="Q66" i="12" s="1"/>
  <c r="Q30" i="12"/>
  <c r="A67" i="12"/>
  <c r="Q68" i="12" s="1"/>
  <c r="C40" i="12"/>
  <c r="B44" i="12" s="1"/>
  <c r="R41" i="12"/>
  <c r="B50" i="12"/>
  <c r="F20" i="10"/>
  <c r="S29" i="10" s="1"/>
  <c r="S29" i="14"/>
  <c r="S8" i="19"/>
  <c r="G8" i="19"/>
  <c r="H8" i="19" s="1"/>
  <c r="I8" i="19" s="1"/>
  <c r="K8" i="19" s="1"/>
  <c r="B50" i="10"/>
  <c r="G42" i="15"/>
  <c r="H42" i="15" s="1"/>
  <c r="I42" i="15" s="1"/>
  <c r="K42" i="15" s="1"/>
  <c r="S25" i="15"/>
  <c r="G22" i="12"/>
  <c r="H22" i="12" s="1"/>
  <c r="I22" i="12" s="1"/>
  <c r="K22" i="12" s="1"/>
  <c r="S23" i="12"/>
  <c r="B19" i="2"/>
  <c r="B44" i="2" s="1"/>
  <c r="B17" i="2"/>
  <c r="B42" i="2" s="1"/>
  <c r="C41" i="2"/>
  <c r="S7" i="22"/>
  <c r="G7" i="22"/>
  <c r="H7" i="22" s="1"/>
  <c r="I7" i="22" s="1"/>
  <c r="K7" i="22" s="1"/>
  <c r="C17" i="10"/>
  <c r="D17" i="10" s="1"/>
  <c r="E17" i="10" s="1"/>
  <c r="F17" i="10" s="1"/>
  <c r="R26" i="10"/>
  <c r="E43" i="17"/>
  <c r="D44" i="17" s="1"/>
  <c r="R24" i="2"/>
  <c r="G15" i="14"/>
  <c r="H15" i="14" s="1"/>
  <c r="I15" i="14" s="1"/>
  <c r="K15" i="14" s="1"/>
  <c r="S26" i="14"/>
  <c r="S24" i="4"/>
  <c r="G8" i="4"/>
  <c r="H8" i="4" s="1"/>
  <c r="I8" i="4" s="1"/>
  <c r="K8" i="4" s="1"/>
  <c r="C8" i="20"/>
  <c r="D8" i="20" s="1"/>
  <c r="E8" i="20" s="1"/>
  <c r="F8" i="20" s="1"/>
  <c r="R8" i="20"/>
  <c r="C28" i="17"/>
  <c r="B29" i="17" s="1"/>
  <c r="C48" i="10"/>
  <c r="C49" i="10" s="1"/>
  <c r="R75" i="10"/>
  <c r="C22" i="11"/>
  <c r="C26" i="11"/>
  <c r="C23" i="11"/>
  <c r="D18" i="11"/>
  <c r="D20" i="11" s="1"/>
  <c r="C24" i="11"/>
  <c r="R26" i="3"/>
  <c r="B18" i="14"/>
  <c r="A62" i="12" l="1"/>
  <c r="Q63" i="12" s="1"/>
  <c r="Q24" i="12"/>
  <c r="S31" i="15"/>
  <c r="B49" i="15"/>
  <c r="B49" i="17"/>
  <c r="D46" i="17"/>
  <c r="D45" i="17"/>
  <c r="T30" i="14"/>
  <c r="G58" i="12"/>
  <c r="H58" i="12" s="1"/>
  <c r="I58" i="12" s="1"/>
  <c r="K58" i="12" s="1"/>
  <c r="T59" i="12" s="1"/>
  <c r="K19" i="14"/>
  <c r="K13" i="18" s="1"/>
  <c r="T13" i="18" s="1"/>
  <c r="N20" i="10"/>
  <c r="W29" i="10" s="1"/>
  <c r="K20" i="10"/>
  <c r="T29" i="10" s="1"/>
  <c r="J11" i="10"/>
  <c r="A20" i="10" s="1"/>
  <c r="Q29" i="10" s="1"/>
  <c r="Q29" i="14"/>
  <c r="C47" i="17"/>
  <c r="Q28" i="14"/>
  <c r="C48" i="17"/>
  <c r="T32" i="15"/>
  <c r="N49" i="15"/>
  <c r="S30" i="15"/>
  <c r="R30" i="15"/>
  <c r="R31" i="15"/>
  <c r="D49" i="15"/>
  <c r="G49" i="15"/>
  <c r="V32" i="15"/>
  <c r="R28" i="15"/>
  <c r="V28" i="14"/>
  <c r="Q27" i="14"/>
  <c r="B45" i="12"/>
  <c r="B63" i="12" s="1"/>
  <c r="H49" i="15"/>
  <c r="R27" i="15"/>
  <c r="M49" i="15"/>
  <c r="C49" i="15"/>
  <c r="I49" i="15"/>
  <c r="K49" i="15"/>
  <c r="E49" i="15"/>
  <c r="S28" i="15"/>
  <c r="S27" i="15"/>
  <c r="F49" i="15"/>
  <c r="S26" i="15"/>
  <c r="U32" i="15"/>
  <c r="L49" i="15"/>
  <c r="N19" i="10"/>
  <c r="W28" i="10" s="1"/>
  <c r="B27" i="3"/>
  <c r="U25" i="3"/>
  <c r="U27" i="3" s="1"/>
  <c r="L27" i="3"/>
  <c r="L17" i="14"/>
  <c r="R28" i="14"/>
  <c r="G17" i="14"/>
  <c r="G27" i="3"/>
  <c r="R25" i="3"/>
  <c r="S25" i="3"/>
  <c r="I17" i="14"/>
  <c r="I19" i="10" s="1"/>
  <c r="R24" i="3"/>
  <c r="C27" i="3"/>
  <c r="B19" i="20"/>
  <c r="B27" i="18"/>
  <c r="D48" i="17"/>
  <c r="D8" i="18"/>
  <c r="D39" i="18" s="1"/>
  <c r="C27" i="11"/>
  <c r="D47" i="17"/>
  <c r="B27" i="11"/>
  <c r="E18" i="10"/>
  <c r="E21" i="10" s="1"/>
  <c r="E13" i="18"/>
  <c r="E18" i="23"/>
  <c r="E10" i="19"/>
  <c r="S29" i="15"/>
  <c r="N27" i="3"/>
  <c r="N16" i="14"/>
  <c r="W24" i="3"/>
  <c r="W27" i="3" s="1"/>
  <c r="R26" i="15"/>
  <c r="R29" i="15"/>
  <c r="D27" i="3"/>
  <c r="D16" i="14"/>
  <c r="H16" i="14"/>
  <c r="H18" i="10" s="1"/>
  <c r="H27" i="3"/>
  <c r="F27" i="3"/>
  <c r="S24" i="3"/>
  <c r="W32" i="15"/>
  <c r="V24" i="3"/>
  <c r="V27" i="3" s="1"/>
  <c r="M16" i="14"/>
  <c r="M27" i="3"/>
  <c r="I16" i="14"/>
  <c r="I27" i="3"/>
  <c r="Q31" i="12"/>
  <c r="A66" i="12"/>
  <c r="Q67" i="12" s="1"/>
  <c r="C18" i="10"/>
  <c r="C21" i="10" s="1"/>
  <c r="C19" i="14"/>
  <c r="G23" i="3"/>
  <c r="H23" i="3" s="1"/>
  <c r="I23" i="3" s="1"/>
  <c r="K23" i="3" s="1"/>
  <c r="S23" i="3"/>
  <c r="T26" i="14"/>
  <c r="U26" i="14" s="1"/>
  <c r="V26" i="14" s="1"/>
  <c r="W26" i="14" s="1"/>
  <c r="L15" i="14"/>
  <c r="M15" i="14" s="1"/>
  <c r="N15" i="14" s="1"/>
  <c r="D40" i="12"/>
  <c r="C44" i="12" s="1"/>
  <c r="C50" i="12"/>
  <c r="C43" i="12"/>
  <c r="C47" i="12"/>
  <c r="C51" i="12"/>
  <c r="B49" i="12"/>
  <c r="C49" i="12"/>
  <c r="B51" i="12"/>
  <c r="B69" i="12" s="1"/>
  <c r="B46" i="12"/>
  <c r="A63" i="12"/>
  <c r="Q64" i="12" s="1"/>
  <c r="Q28" i="12"/>
  <c r="B20" i="10"/>
  <c r="R29" i="10" s="1"/>
  <c r="R29" i="14"/>
  <c r="B19" i="14"/>
  <c r="D22" i="11"/>
  <c r="D26" i="11"/>
  <c r="D23" i="11"/>
  <c r="D24" i="11"/>
  <c r="E18" i="11"/>
  <c r="D21" i="11"/>
  <c r="D25" i="11"/>
  <c r="S26" i="10"/>
  <c r="G17" i="10"/>
  <c r="H17" i="10" s="1"/>
  <c r="I17" i="10" s="1"/>
  <c r="K17" i="10" s="1"/>
  <c r="L22" i="12"/>
  <c r="T23" i="12"/>
  <c r="B68" i="12"/>
  <c r="D28" i="17"/>
  <c r="C30" i="17" s="1"/>
  <c r="B35" i="17"/>
  <c r="B36" i="17"/>
  <c r="B31" i="17"/>
  <c r="C32" i="17"/>
  <c r="C29" i="17"/>
  <c r="B33" i="17"/>
  <c r="C34" i="17"/>
  <c r="B32" i="17"/>
  <c r="C36" i="17"/>
  <c r="C31" i="17"/>
  <c r="B34" i="17"/>
  <c r="C33" i="17"/>
  <c r="C35" i="17"/>
  <c r="L7" i="22"/>
  <c r="T7" i="22"/>
  <c r="D48" i="10"/>
  <c r="C50" i="10"/>
  <c r="C51" i="10"/>
  <c r="L58" i="12"/>
  <c r="F43" i="17"/>
  <c r="E48" i="17" s="1"/>
  <c r="T25" i="15"/>
  <c r="U25" i="15" s="1"/>
  <c r="V25" i="15" s="1"/>
  <c r="W25" i="15" s="1"/>
  <c r="L42" i="15"/>
  <c r="M42" i="15" s="1"/>
  <c r="N42" i="15" s="1"/>
  <c r="B48" i="12"/>
  <c r="B47" i="12"/>
  <c r="B41" i="12"/>
  <c r="B52" i="10"/>
  <c r="B19" i="23" s="1"/>
  <c r="R28" i="10"/>
  <c r="B45" i="2"/>
  <c r="L8" i="19"/>
  <c r="T8" i="19"/>
  <c r="B62" i="12"/>
  <c r="G8" i="20"/>
  <c r="H8" i="20" s="1"/>
  <c r="I8" i="20" s="1"/>
  <c r="K8" i="20" s="1"/>
  <c r="S8" i="20"/>
  <c r="B30" i="17"/>
  <c r="L8" i="4"/>
  <c r="T24" i="4"/>
  <c r="C17" i="2"/>
  <c r="C42" i="2" s="1"/>
  <c r="D41" i="2"/>
  <c r="C19" i="2"/>
  <c r="C44" i="2" s="1"/>
  <c r="C18" i="2"/>
  <c r="C43" i="2" s="1"/>
  <c r="B43" i="12"/>
  <c r="B42" i="12"/>
  <c r="T28" i="10"/>
  <c r="B10" i="4" l="1"/>
  <c r="B15" i="19" s="1"/>
  <c r="K10" i="19"/>
  <c r="T10" i="19" s="1"/>
  <c r="K21" i="10"/>
  <c r="T30" i="10"/>
  <c r="C42" i="12"/>
  <c r="C49" i="17"/>
  <c r="C27" i="18" s="1"/>
  <c r="C41" i="12"/>
  <c r="E44" i="17"/>
  <c r="K18" i="23"/>
  <c r="K27" i="23" s="1"/>
  <c r="K14" i="20" s="1"/>
  <c r="T14" i="20" s="1"/>
  <c r="R32" i="15"/>
  <c r="C10" i="4"/>
  <c r="C15" i="18" s="1"/>
  <c r="R27" i="3"/>
  <c r="E47" i="17"/>
  <c r="B37" i="17"/>
  <c r="B26" i="18" s="1"/>
  <c r="E45" i="17"/>
  <c r="C48" i="12"/>
  <c r="D49" i="17"/>
  <c r="D27" i="18" s="1"/>
  <c r="C45" i="12"/>
  <c r="C63" i="12" s="1"/>
  <c r="C46" i="12"/>
  <c r="S32" i="15"/>
  <c r="E27" i="23"/>
  <c r="E14" i="20" s="1"/>
  <c r="R14" i="20" s="1"/>
  <c r="C52" i="10"/>
  <c r="C19" i="23" s="1"/>
  <c r="C32" i="23" s="1"/>
  <c r="C20" i="20" s="1"/>
  <c r="B21" i="10"/>
  <c r="G19" i="10"/>
  <c r="G19" i="14"/>
  <c r="S28" i="14"/>
  <c r="S27" i="3"/>
  <c r="L19" i="10"/>
  <c r="U28" i="14"/>
  <c r="U30" i="14" s="1"/>
  <c r="L19" i="14"/>
  <c r="D19" i="20"/>
  <c r="C45" i="2"/>
  <c r="C37" i="17"/>
  <c r="C26" i="18" s="1"/>
  <c r="D27" i="11"/>
  <c r="D10" i="4" s="1"/>
  <c r="E8" i="18"/>
  <c r="E39" i="18" s="1"/>
  <c r="E46" i="17"/>
  <c r="W27" i="14"/>
  <c r="W30" i="14" s="1"/>
  <c r="N19" i="14"/>
  <c r="N18" i="10"/>
  <c r="C10" i="19"/>
  <c r="C18" i="23"/>
  <c r="C27" i="23" s="1"/>
  <c r="C13" i="18"/>
  <c r="M19" i="14"/>
  <c r="M18" i="10"/>
  <c r="V27" i="14"/>
  <c r="V30" i="14" s="1"/>
  <c r="H21" i="10"/>
  <c r="H19" i="14"/>
  <c r="D18" i="10"/>
  <c r="D19" i="14"/>
  <c r="R27" i="14"/>
  <c r="R30" i="14" s="1"/>
  <c r="F19" i="14"/>
  <c r="S27" i="14"/>
  <c r="I18" i="10"/>
  <c r="I21" i="10" s="1"/>
  <c r="I19" i="14"/>
  <c r="L23" i="3"/>
  <c r="M23" i="3" s="1"/>
  <c r="N23" i="3" s="1"/>
  <c r="T23" i="3"/>
  <c r="U23" i="3" s="1"/>
  <c r="V23" i="3" s="1"/>
  <c r="W23" i="3" s="1"/>
  <c r="B66" i="12"/>
  <c r="M7" i="22"/>
  <c r="U7" i="22"/>
  <c r="B18" i="23"/>
  <c r="B27" i="23" s="1"/>
  <c r="B10" i="19"/>
  <c r="B13" i="18"/>
  <c r="M58" i="12"/>
  <c r="U59" i="12"/>
  <c r="T26" i="10"/>
  <c r="U26" i="10" s="1"/>
  <c r="V26" i="10" s="1"/>
  <c r="W26" i="10" s="1"/>
  <c r="L17" i="10"/>
  <c r="M17" i="10" s="1"/>
  <c r="N17" i="10" s="1"/>
  <c r="B60" i="12"/>
  <c r="L8" i="20"/>
  <c r="T8" i="20"/>
  <c r="B28" i="23"/>
  <c r="B9" i="4"/>
  <c r="B32" i="23"/>
  <c r="E28" i="17"/>
  <c r="D30" i="17" s="1"/>
  <c r="D35" i="17"/>
  <c r="D33" i="17"/>
  <c r="D36" i="17"/>
  <c r="D32" i="17"/>
  <c r="D31" i="17"/>
  <c r="D29" i="17"/>
  <c r="D34" i="17"/>
  <c r="C69" i="12"/>
  <c r="B33" i="12"/>
  <c r="B61" i="12"/>
  <c r="M8" i="4"/>
  <c r="U24" i="4"/>
  <c r="M8" i="19"/>
  <c r="U8" i="19"/>
  <c r="B26" i="12"/>
  <c r="C62" i="12"/>
  <c r="B59" i="12"/>
  <c r="B52" i="12"/>
  <c r="E48" i="10"/>
  <c r="D50" i="10"/>
  <c r="D51" i="10"/>
  <c r="D49" i="10"/>
  <c r="C68" i="12"/>
  <c r="B32" i="12"/>
  <c r="F18" i="11"/>
  <c r="E22" i="11"/>
  <c r="R29" i="11" s="1"/>
  <c r="E26" i="11"/>
  <c r="R33" i="11" s="1"/>
  <c r="E23" i="11"/>
  <c r="R30" i="11" s="1"/>
  <c r="E20" i="11"/>
  <c r="E24" i="11"/>
  <c r="R31" i="11" s="1"/>
  <c r="E21" i="11"/>
  <c r="R28" i="11" s="1"/>
  <c r="E25" i="11"/>
  <c r="R32" i="11" s="1"/>
  <c r="D17" i="2"/>
  <c r="D42" i="2" s="1"/>
  <c r="E41" i="2"/>
  <c r="D19" i="2"/>
  <c r="D44" i="2" s="1"/>
  <c r="D18" i="2"/>
  <c r="D43" i="2" s="1"/>
  <c r="M22" i="12"/>
  <c r="U23" i="12"/>
  <c r="E40" i="12"/>
  <c r="D49" i="12" s="1"/>
  <c r="B65" i="12"/>
  <c r="G43" i="17"/>
  <c r="F47" i="17" s="1"/>
  <c r="F44" i="17"/>
  <c r="B64" i="12"/>
  <c r="B67" i="12"/>
  <c r="B27" i="12"/>
  <c r="B15" i="18" l="1"/>
  <c r="D48" i="12"/>
  <c r="C29" i="18"/>
  <c r="C19" i="20"/>
  <c r="F48" i="17"/>
  <c r="C21" i="20"/>
  <c r="D41" i="12"/>
  <c r="D46" i="12"/>
  <c r="C15" i="19"/>
  <c r="F46" i="17"/>
  <c r="E49" i="17"/>
  <c r="C52" i="12"/>
  <c r="C21" i="18" s="1"/>
  <c r="C23" i="18" s="1"/>
  <c r="D45" i="2"/>
  <c r="E27" i="11"/>
  <c r="E10" i="4" s="1"/>
  <c r="E15" i="19" s="1"/>
  <c r="S30" i="14"/>
  <c r="C9" i="4"/>
  <c r="C28" i="23"/>
  <c r="C15" i="20" s="1"/>
  <c r="U28" i="10"/>
  <c r="U30" i="10" s="1"/>
  <c r="L21" i="10"/>
  <c r="L13" i="18"/>
  <c r="U13" i="18" s="1"/>
  <c r="L18" i="23"/>
  <c r="L27" i="23" s="1"/>
  <c r="L10" i="19"/>
  <c r="U10" i="19" s="1"/>
  <c r="G13" i="18"/>
  <c r="G18" i="23"/>
  <c r="G27" i="23" s="1"/>
  <c r="G14" i="20" s="1"/>
  <c r="G10" i="19"/>
  <c r="G21" i="10"/>
  <c r="S28" i="10"/>
  <c r="E19" i="20"/>
  <c r="R19" i="20" s="1"/>
  <c r="E27" i="18"/>
  <c r="R27" i="18" s="1"/>
  <c r="D52" i="10"/>
  <c r="D19" i="23" s="1"/>
  <c r="D28" i="23" s="1"/>
  <c r="R27" i="11"/>
  <c r="R34" i="11" s="1"/>
  <c r="D51" i="12"/>
  <c r="D69" i="12" s="1"/>
  <c r="F45" i="17"/>
  <c r="F49" i="17" s="1"/>
  <c r="D42" i="12"/>
  <c r="D44" i="12"/>
  <c r="D62" i="12" s="1"/>
  <c r="D37" i="17"/>
  <c r="D26" i="18" s="1"/>
  <c r="D29" i="18" s="1"/>
  <c r="C41" i="23"/>
  <c r="C33" i="23"/>
  <c r="B29" i="18"/>
  <c r="D43" i="12"/>
  <c r="D45" i="12"/>
  <c r="D63" i="12" s="1"/>
  <c r="D15" i="19"/>
  <c r="D50" i="12"/>
  <c r="D15" i="18"/>
  <c r="F8" i="18"/>
  <c r="F39" i="18" s="1"/>
  <c r="D47" i="12"/>
  <c r="D13" i="18"/>
  <c r="R13" i="18" s="1"/>
  <c r="D10" i="19"/>
  <c r="R10" i="19" s="1"/>
  <c r="D18" i="23"/>
  <c r="D27" i="23" s="1"/>
  <c r="D39" i="23" s="1"/>
  <c r="D21" i="10"/>
  <c r="R27" i="10"/>
  <c r="R30" i="10" s="1"/>
  <c r="C14" i="20"/>
  <c r="H10" i="19"/>
  <c r="H18" i="23"/>
  <c r="H27" i="23" s="1"/>
  <c r="H13" i="18"/>
  <c r="F13" i="18"/>
  <c r="F10" i="19"/>
  <c r="F18" i="23"/>
  <c r="F27" i="23" s="1"/>
  <c r="S27" i="10"/>
  <c r="F21" i="10"/>
  <c r="W27" i="10"/>
  <c r="W30" i="10" s="1"/>
  <c r="N21" i="10"/>
  <c r="I10" i="19"/>
  <c r="I13" i="18"/>
  <c r="I18" i="23"/>
  <c r="I27" i="23" s="1"/>
  <c r="V27" i="10"/>
  <c r="V30" i="10" s="1"/>
  <c r="M21" i="10"/>
  <c r="N10" i="19"/>
  <c r="W10" i="19" s="1"/>
  <c r="N18" i="23"/>
  <c r="N27" i="23" s="1"/>
  <c r="N14" i="20" s="1"/>
  <c r="W14" i="20" s="1"/>
  <c r="N13" i="18"/>
  <c r="W13" i="18" s="1"/>
  <c r="M18" i="23"/>
  <c r="M27" i="23" s="1"/>
  <c r="M13" i="18"/>
  <c r="V13" i="18" s="1"/>
  <c r="M10" i="19"/>
  <c r="V10" i="19" s="1"/>
  <c r="B21" i="18"/>
  <c r="B23" i="18" s="1"/>
  <c r="N8" i="4"/>
  <c r="W24" i="4" s="1"/>
  <c r="V24" i="4"/>
  <c r="F28" i="17"/>
  <c r="E30" i="17" s="1"/>
  <c r="E29" i="17"/>
  <c r="E34" i="17"/>
  <c r="E36" i="17"/>
  <c r="E35" i="17"/>
  <c r="E32" i="17"/>
  <c r="E33" i="17"/>
  <c r="E31" i="17"/>
  <c r="B25" i="12"/>
  <c r="C61" i="12"/>
  <c r="B41" i="23"/>
  <c r="B20" i="20"/>
  <c r="B33" i="23"/>
  <c r="M8" i="20"/>
  <c r="U8" i="20"/>
  <c r="N58" i="12"/>
  <c r="W59" i="12" s="1"/>
  <c r="V59" i="12"/>
  <c r="F40" i="12"/>
  <c r="E42" i="12" s="1"/>
  <c r="E51" i="12"/>
  <c r="V23" i="12"/>
  <c r="N22" i="12"/>
  <c r="W23" i="12" s="1"/>
  <c r="F22" i="11"/>
  <c r="F26" i="11"/>
  <c r="G18" i="11"/>
  <c r="F23" i="11"/>
  <c r="F20" i="11"/>
  <c r="F24" i="11"/>
  <c r="S25" i="11"/>
  <c r="F21" i="11"/>
  <c r="F25" i="11"/>
  <c r="N7" i="22"/>
  <c r="W7" i="22" s="1"/>
  <c r="V7" i="22"/>
  <c r="C27" i="12"/>
  <c r="E19" i="2"/>
  <c r="E44" i="2" s="1"/>
  <c r="R27" i="2" s="1"/>
  <c r="F41" i="2"/>
  <c r="E17" i="2"/>
  <c r="E42" i="2" s="1"/>
  <c r="R25" i="2" s="1"/>
  <c r="E18" i="2"/>
  <c r="E43" i="2" s="1"/>
  <c r="R26" i="2" s="1"/>
  <c r="C32" i="12"/>
  <c r="D68" i="12"/>
  <c r="F48" i="10"/>
  <c r="F49" i="10" s="1"/>
  <c r="E50" i="10"/>
  <c r="R77" i="10" s="1"/>
  <c r="E51" i="10"/>
  <c r="R78" i="10" s="1"/>
  <c r="E49" i="10"/>
  <c r="C59" i="12"/>
  <c r="B23" i="12"/>
  <c r="B70" i="12"/>
  <c r="B12" i="20" s="1"/>
  <c r="V8" i="19"/>
  <c r="N8" i="19"/>
  <c r="W8" i="19" s="1"/>
  <c r="B14" i="18"/>
  <c r="B11" i="19"/>
  <c r="C39" i="23"/>
  <c r="B14" i="20"/>
  <c r="B39" i="23"/>
  <c r="B29" i="23"/>
  <c r="C66" i="12"/>
  <c r="B30" i="12"/>
  <c r="H43" i="17"/>
  <c r="G47" i="17" s="1"/>
  <c r="C26" i="12"/>
  <c r="C64" i="12"/>
  <c r="B28" i="12"/>
  <c r="C65" i="12"/>
  <c r="B29" i="12"/>
  <c r="C67" i="12"/>
  <c r="B31" i="12"/>
  <c r="C33" i="12"/>
  <c r="B15" i="20"/>
  <c r="B40" i="23"/>
  <c r="B24" i="12"/>
  <c r="C60" i="12"/>
  <c r="E15" i="18" l="1"/>
  <c r="R15" i="18" s="1"/>
  <c r="G48" i="17"/>
  <c r="G44" i="17"/>
  <c r="G49" i="17" s="1"/>
  <c r="G46" i="17"/>
  <c r="R26" i="4"/>
  <c r="E50" i="12"/>
  <c r="R51" i="12" s="1"/>
  <c r="E45" i="12"/>
  <c r="R46" i="12" s="1"/>
  <c r="S10" i="19"/>
  <c r="G45" i="17"/>
  <c r="R28" i="2"/>
  <c r="C40" i="23"/>
  <c r="C42" i="23" s="1"/>
  <c r="C29" i="23"/>
  <c r="C35" i="23" s="1"/>
  <c r="C14" i="18"/>
  <c r="C11" i="19"/>
  <c r="C12" i="19" s="1"/>
  <c r="C16" i="19" s="1"/>
  <c r="C9" i="22" s="1"/>
  <c r="L14" i="20"/>
  <c r="U14" i="20" s="1"/>
  <c r="L39" i="23"/>
  <c r="S30" i="10"/>
  <c r="D32" i="23"/>
  <c r="D41" i="23" s="1"/>
  <c r="D9" i="4"/>
  <c r="D11" i="19" s="1"/>
  <c r="D12" i="19" s="1"/>
  <c r="F27" i="18"/>
  <c r="F19" i="20"/>
  <c r="R43" i="12"/>
  <c r="E48" i="12"/>
  <c r="R49" i="12" s="1"/>
  <c r="G8" i="18"/>
  <c r="G39" i="18" s="1"/>
  <c r="S8" i="18"/>
  <c r="AC51" i="18" s="1"/>
  <c r="AC24" i="18"/>
  <c r="C11" i="24" s="1"/>
  <c r="E45" i="2"/>
  <c r="E41" i="12"/>
  <c r="B21" i="20"/>
  <c r="E43" i="12"/>
  <c r="R44" i="12" s="1"/>
  <c r="E37" i="17"/>
  <c r="E26" i="18" s="1"/>
  <c r="E47" i="12"/>
  <c r="R48" i="12" s="1"/>
  <c r="E44" i="12"/>
  <c r="E62" i="12" s="1"/>
  <c r="R63" i="12" s="1"/>
  <c r="E46" i="12"/>
  <c r="R47" i="12" s="1"/>
  <c r="D52" i="12"/>
  <c r="E52" i="10"/>
  <c r="E19" i="23" s="1"/>
  <c r="E49" i="12"/>
  <c r="R50" i="12" s="1"/>
  <c r="R15" i="19"/>
  <c r="R76" i="10"/>
  <c r="R79" i="10" s="1"/>
  <c r="M39" i="23"/>
  <c r="M14" i="20"/>
  <c r="V14" i="20" s="1"/>
  <c r="N39" i="23"/>
  <c r="I14" i="20"/>
  <c r="S14" i="20" s="1"/>
  <c r="K39" i="23"/>
  <c r="F39" i="23"/>
  <c r="G39" i="23"/>
  <c r="F14" i="20"/>
  <c r="D14" i="20"/>
  <c r="E39" i="23"/>
  <c r="S13" i="18"/>
  <c r="I39" i="23"/>
  <c r="H14" i="20"/>
  <c r="H39" i="23"/>
  <c r="B35" i="23"/>
  <c r="B36" i="23" s="1"/>
  <c r="C28" i="12"/>
  <c r="D64" i="12"/>
  <c r="D32" i="12"/>
  <c r="D27" i="12"/>
  <c r="G40" i="12"/>
  <c r="F44" i="12" s="1"/>
  <c r="S41" i="12"/>
  <c r="F51" i="12"/>
  <c r="C25" i="12"/>
  <c r="D61" i="12"/>
  <c r="D65" i="12"/>
  <c r="C29" i="12"/>
  <c r="D66" i="12"/>
  <c r="C30" i="12"/>
  <c r="F27" i="11"/>
  <c r="F10" i="4" s="1"/>
  <c r="C24" i="12"/>
  <c r="D60" i="12"/>
  <c r="B34" i="12"/>
  <c r="B11" i="4" s="1"/>
  <c r="B12" i="4" s="1"/>
  <c r="B12" i="19"/>
  <c r="D15" i="20"/>
  <c r="D29" i="23"/>
  <c r="D40" i="23"/>
  <c r="D33" i="12"/>
  <c r="E69" i="12"/>
  <c r="D67" i="12"/>
  <c r="C31" i="12"/>
  <c r="I43" i="17"/>
  <c r="H46" i="17" s="1"/>
  <c r="D26" i="12"/>
  <c r="B42" i="23"/>
  <c r="D59" i="12"/>
  <c r="C70" i="12"/>
  <c r="C12" i="20" s="1"/>
  <c r="C23" i="12"/>
  <c r="S75" i="10"/>
  <c r="G48" i="10"/>
  <c r="G49" i="10" s="1"/>
  <c r="F50" i="10"/>
  <c r="F51" i="10"/>
  <c r="F17" i="2"/>
  <c r="F42" i="2" s="1"/>
  <c r="S24" i="2"/>
  <c r="F19" i="2"/>
  <c r="F44" i="2" s="1"/>
  <c r="G41" i="2"/>
  <c r="F18" i="2"/>
  <c r="F43" i="2" s="1"/>
  <c r="G22" i="11"/>
  <c r="G26" i="11"/>
  <c r="G23" i="11"/>
  <c r="H18" i="11"/>
  <c r="G20" i="11"/>
  <c r="G24" i="11"/>
  <c r="G21" i="11"/>
  <c r="G25" i="11"/>
  <c r="V8" i="20"/>
  <c r="N8" i="20"/>
  <c r="W8" i="20" s="1"/>
  <c r="G28" i="17"/>
  <c r="F29" i="17" s="1"/>
  <c r="F34" i="17"/>
  <c r="F35" i="17"/>
  <c r="F36" i="17"/>
  <c r="F33" i="17"/>
  <c r="F32" i="17"/>
  <c r="F31" i="17"/>
  <c r="E63" i="12" l="1"/>
  <c r="R64" i="12" s="1"/>
  <c r="G27" i="18"/>
  <c r="G19" i="20"/>
  <c r="H45" i="17"/>
  <c r="E68" i="12"/>
  <c r="R69" i="12" s="1"/>
  <c r="H47" i="17"/>
  <c r="H44" i="17"/>
  <c r="H48" i="17"/>
  <c r="F46" i="12"/>
  <c r="F50" i="12"/>
  <c r="F30" i="17"/>
  <c r="F37" i="17" s="1"/>
  <c r="F26" i="18" s="1"/>
  <c r="F29" i="18" s="1"/>
  <c r="F45" i="12"/>
  <c r="F48" i="12"/>
  <c r="F42" i="12"/>
  <c r="F43" i="12"/>
  <c r="F47" i="12"/>
  <c r="F41" i="12"/>
  <c r="F49" i="12"/>
  <c r="R45" i="12"/>
  <c r="C13" i="19"/>
  <c r="C8" i="22"/>
  <c r="E28" i="23"/>
  <c r="E40" i="23" s="1"/>
  <c r="D14" i="18"/>
  <c r="E32" i="23"/>
  <c r="E20" i="20" s="1"/>
  <c r="D20" i="20"/>
  <c r="D21" i="20" s="1"/>
  <c r="E9" i="4"/>
  <c r="R25" i="4" s="1"/>
  <c r="D33" i="23"/>
  <c r="D35" i="23" s="1"/>
  <c r="D36" i="23" s="1"/>
  <c r="E29" i="18"/>
  <c r="R29" i="18" s="1"/>
  <c r="R26" i="18"/>
  <c r="D21" i="18"/>
  <c r="H8" i="18"/>
  <c r="H39" i="18" s="1"/>
  <c r="G27" i="11"/>
  <c r="G10" i="4" s="1"/>
  <c r="G15" i="19" s="1"/>
  <c r="D42" i="23"/>
  <c r="E52" i="12"/>
  <c r="R42" i="12"/>
  <c r="C34" i="12"/>
  <c r="C11" i="4" s="1"/>
  <c r="C12" i="4" s="1"/>
  <c r="C36" i="23"/>
  <c r="B16" i="18"/>
  <c r="H28" i="17"/>
  <c r="G29" i="17" s="1"/>
  <c r="G35" i="17"/>
  <c r="G34" i="17"/>
  <c r="G36" i="17"/>
  <c r="G31" i="17"/>
  <c r="G32" i="17"/>
  <c r="G33" i="17"/>
  <c r="E26" i="12"/>
  <c r="R27" i="12" s="1"/>
  <c r="F62" i="12"/>
  <c r="F69" i="12"/>
  <c r="E33" i="12"/>
  <c r="B13" i="19"/>
  <c r="B16" i="19"/>
  <c r="B8" i="22"/>
  <c r="H40" i="12"/>
  <c r="G41" i="12" s="1"/>
  <c r="G48" i="12"/>
  <c r="H22" i="11"/>
  <c r="H26" i="11"/>
  <c r="H23" i="11"/>
  <c r="H20" i="11"/>
  <c r="H24" i="11"/>
  <c r="I18" i="11"/>
  <c r="H21" i="11"/>
  <c r="H25" i="11"/>
  <c r="F45" i="2"/>
  <c r="H48" i="10"/>
  <c r="H49" i="10" s="1"/>
  <c r="G50" i="10"/>
  <c r="G51" i="10"/>
  <c r="D23" i="12"/>
  <c r="E59" i="12" s="1"/>
  <c r="R60" i="12" s="1"/>
  <c r="D70" i="12"/>
  <c r="D12" i="20" s="1"/>
  <c r="D30" i="12"/>
  <c r="E66" i="12"/>
  <c r="R67" i="12" s="1"/>
  <c r="E65" i="12"/>
  <c r="R66" i="12" s="1"/>
  <c r="D29" i="12"/>
  <c r="G19" i="2"/>
  <c r="G44" i="2" s="1"/>
  <c r="G17" i="2"/>
  <c r="G42" i="2" s="1"/>
  <c r="H41" i="2"/>
  <c r="G18" i="2"/>
  <c r="G43" i="2" s="1"/>
  <c r="F52" i="10"/>
  <c r="F19" i="23" s="1"/>
  <c r="D13" i="19"/>
  <c r="D16" i="19"/>
  <c r="D8" i="22"/>
  <c r="D24" i="12"/>
  <c r="E60" i="12"/>
  <c r="R61" i="12" s="1"/>
  <c r="F15" i="18"/>
  <c r="F15" i="19"/>
  <c r="D25" i="12"/>
  <c r="E61" i="12"/>
  <c r="R62" i="12" s="1"/>
  <c r="F68" i="12"/>
  <c r="D28" i="12"/>
  <c r="E64" i="12"/>
  <c r="R65" i="12" s="1"/>
  <c r="K43" i="17"/>
  <c r="I44" i="17" s="1"/>
  <c r="I47" i="17"/>
  <c r="D31" i="12"/>
  <c r="E67" i="12"/>
  <c r="R68" i="12" s="1"/>
  <c r="B13" i="20"/>
  <c r="B18" i="19"/>
  <c r="R52" i="12" l="1"/>
  <c r="B16" i="24" s="1"/>
  <c r="F63" i="12"/>
  <c r="F27" i="12" s="1"/>
  <c r="H49" i="17"/>
  <c r="H27" i="18" s="1"/>
  <c r="E32" i="12"/>
  <c r="R33" i="12" s="1"/>
  <c r="E27" i="12"/>
  <c r="R28" i="12" s="1"/>
  <c r="F52" i="12"/>
  <c r="F21" i="18" s="1"/>
  <c r="F23" i="18" s="1"/>
  <c r="C18" i="19"/>
  <c r="C19" i="19" s="1"/>
  <c r="C10" i="22" s="1"/>
  <c r="C13" i="20"/>
  <c r="E21" i="20"/>
  <c r="R21" i="20" s="1"/>
  <c r="R20" i="20"/>
  <c r="I48" i="17"/>
  <c r="H19" i="20"/>
  <c r="I45" i="17"/>
  <c r="G15" i="18"/>
  <c r="G30" i="17"/>
  <c r="G37" i="17" s="1"/>
  <c r="I46" i="17"/>
  <c r="E29" i="23"/>
  <c r="E15" i="20"/>
  <c r="R15" i="20" s="1"/>
  <c r="E11" i="19"/>
  <c r="E12" i="19" s="1"/>
  <c r="R12" i="19" s="1"/>
  <c r="R13" i="19" s="1"/>
  <c r="E14" i="18"/>
  <c r="R14" i="18" s="1"/>
  <c r="E33" i="23"/>
  <c r="E41" i="23"/>
  <c r="E42" i="23" s="1"/>
  <c r="G47" i="12"/>
  <c r="R70" i="12"/>
  <c r="G46" i="12"/>
  <c r="G45" i="2"/>
  <c r="G45" i="12"/>
  <c r="G51" i="12"/>
  <c r="G69" i="12" s="1"/>
  <c r="E21" i="18"/>
  <c r="E23" i="18" s="1"/>
  <c r="H27" i="11"/>
  <c r="H10" i="4" s="1"/>
  <c r="G42" i="12"/>
  <c r="G49" i="12"/>
  <c r="I8" i="18"/>
  <c r="I39" i="18" s="1"/>
  <c r="D23" i="18"/>
  <c r="D34" i="12"/>
  <c r="D11" i="4" s="1"/>
  <c r="D12" i="4" s="1"/>
  <c r="G50" i="12"/>
  <c r="G68" i="12" s="1"/>
  <c r="G52" i="10"/>
  <c r="G19" i="23" s="1"/>
  <c r="G32" i="23" s="1"/>
  <c r="G44" i="12"/>
  <c r="G62" i="12" s="1"/>
  <c r="G43" i="12"/>
  <c r="C16" i="18"/>
  <c r="D16" i="18"/>
  <c r="L43" i="17"/>
  <c r="K47" i="17" s="1"/>
  <c r="D9" i="22"/>
  <c r="F65" i="12"/>
  <c r="E29" i="12"/>
  <c r="R30" i="12" s="1"/>
  <c r="K18" i="11"/>
  <c r="K20" i="11" s="1"/>
  <c r="I22" i="11"/>
  <c r="S29" i="11" s="1"/>
  <c r="I26" i="11"/>
  <c r="S33" i="11" s="1"/>
  <c r="I23" i="11"/>
  <c r="S30" i="11" s="1"/>
  <c r="I20" i="11"/>
  <c r="I24" i="11"/>
  <c r="S31" i="11" s="1"/>
  <c r="I21" i="11"/>
  <c r="S28" i="11" s="1"/>
  <c r="I25" i="11"/>
  <c r="S32" i="11" s="1"/>
  <c r="I40" i="12"/>
  <c r="H48" i="12" s="1"/>
  <c r="F67" i="12"/>
  <c r="E31" i="12"/>
  <c r="R32" i="12" s="1"/>
  <c r="E24" i="12"/>
  <c r="R25" i="12" s="1"/>
  <c r="H17" i="2"/>
  <c r="H42" i="2" s="1"/>
  <c r="H19" i="2"/>
  <c r="H44" i="2" s="1"/>
  <c r="I41" i="2"/>
  <c r="H18" i="2"/>
  <c r="H43" i="2" s="1"/>
  <c r="E30" i="12"/>
  <c r="R31" i="12" s="1"/>
  <c r="F66" i="12"/>
  <c r="F32" i="12"/>
  <c r="F28" i="23"/>
  <c r="F9" i="4"/>
  <c r="F32" i="23"/>
  <c r="E23" i="12"/>
  <c r="F59" i="12" s="1"/>
  <c r="E70" i="12"/>
  <c r="E12" i="20" s="1"/>
  <c r="R12" i="20" s="1"/>
  <c r="F33" i="12"/>
  <c r="E28" i="12"/>
  <c r="R29" i="12" s="1"/>
  <c r="F64" i="12"/>
  <c r="E25" i="12"/>
  <c r="R26" i="12" s="1"/>
  <c r="I48" i="10"/>
  <c r="I49" i="10" s="1"/>
  <c r="H50" i="10"/>
  <c r="H51" i="10"/>
  <c r="B9" i="22"/>
  <c r="B19" i="19"/>
  <c r="F26" i="12"/>
  <c r="I28" i="17"/>
  <c r="H32" i="17"/>
  <c r="H29" i="17"/>
  <c r="H30" i="17"/>
  <c r="H35" i="17"/>
  <c r="H31" i="17"/>
  <c r="H33" i="17"/>
  <c r="H36" i="17"/>
  <c r="H34" i="17"/>
  <c r="G63" i="12" l="1"/>
  <c r="G27" i="12" s="1"/>
  <c r="F61" i="12"/>
  <c r="C22" i="19"/>
  <c r="C11" i="22" s="1"/>
  <c r="H45" i="12"/>
  <c r="H41" i="12"/>
  <c r="H51" i="12"/>
  <c r="H69" i="12" s="1"/>
  <c r="H50" i="12"/>
  <c r="H68" i="12" s="1"/>
  <c r="H49" i="12"/>
  <c r="I49" i="17"/>
  <c r="I27" i="18" s="1"/>
  <c r="S27" i="18" s="1"/>
  <c r="K45" i="17"/>
  <c r="H46" i="12"/>
  <c r="K46" i="17"/>
  <c r="D18" i="19"/>
  <c r="D19" i="19" s="1"/>
  <c r="D22" i="19" s="1"/>
  <c r="D13" i="20"/>
  <c r="H44" i="12"/>
  <c r="H43" i="12"/>
  <c r="H42" i="12"/>
  <c r="H47" i="12"/>
  <c r="K48" i="17"/>
  <c r="R21" i="18"/>
  <c r="R23" i="18"/>
  <c r="G26" i="18"/>
  <c r="G29" i="18" s="1"/>
  <c r="F60" i="12"/>
  <c r="H15" i="18"/>
  <c r="H15" i="19"/>
  <c r="E35" i="23"/>
  <c r="E36" i="23" s="1"/>
  <c r="E16" i="18" s="1"/>
  <c r="R16" i="18" s="1"/>
  <c r="B17" i="24" s="1"/>
  <c r="R11" i="19"/>
  <c r="E16" i="19"/>
  <c r="R16" i="19" s="1"/>
  <c r="E13" i="19"/>
  <c r="H52" i="10"/>
  <c r="H19" i="23" s="1"/>
  <c r="H28" i="23" s="1"/>
  <c r="E8" i="22"/>
  <c r="R8" i="22" s="1"/>
  <c r="G28" i="23"/>
  <c r="G29" i="23" s="1"/>
  <c r="G9" i="4"/>
  <c r="G11" i="19" s="1"/>
  <c r="G12" i="19" s="1"/>
  <c r="G52" i="12"/>
  <c r="E34" i="12"/>
  <c r="E11" i="4" s="1"/>
  <c r="E13" i="20" s="1"/>
  <c r="R13" i="20" s="1"/>
  <c r="H45" i="2"/>
  <c r="K8" i="18"/>
  <c r="K39" i="18" s="1"/>
  <c r="H37" i="17"/>
  <c r="H26" i="18" s="1"/>
  <c r="R24" i="12"/>
  <c r="R34" i="12" s="1"/>
  <c r="K44" i="17"/>
  <c r="I27" i="11"/>
  <c r="I10" i="4" s="1"/>
  <c r="I15" i="19" s="1"/>
  <c r="S27" i="11"/>
  <c r="S34" i="11" s="1"/>
  <c r="F15" i="20"/>
  <c r="F29" i="23"/>
  <c r="F40" i="23"/>
  <c r="F31" i="12"/>
  <c r="G67" i="12"/>
  <c r="K40" i="12"/>
  <c r="I50" i="12" s="1"/>
  <c r="K22" i="11"/>
  <c r="T29" i="11" s="1"/>
  <c r="K26" i="11"/>
  <c r="T33" i="11" s="1"/>
  <c r="L18" i="11"/>
  <c r="K23" i="11"/>
  <c r="T30" i="11" s="1"/>
  <c r="K24" i="11"/>
  <c r="T31" i="11" s="1"/>
  <c r="K21" i="11"/>
  <c r="T28" i="11" s="1"/>
  <c r="K25" i="11"/>
  <c r="T32" i="11" s="1"/>
  <c r="T25" i="11"/>
  <c r="G26" i="12"/>
  <c r="K28" i="17"/>
  <c r="I36" i="17"/>
  <c r="I30" i="17"/>
  <c r="I32" i="17"/>
  <c r="I31" i="17"/>
  <c r="I35" i="17"/>
  <c r="I33" i="17"/>
  <c r="I34" i="17"/>
  <c r="I29" i="17"/>
  <c r="B10" i="22"/>
  <c r="B22" i="19"/>
  <c r="F25" i="12"/>
  <c r="G61" i="12" s="1"/>
  <c r="F30" i="12"/>
  <c r="G66" i="12"/>
  <c r="I17" i="2"/>
  <c r="I42" i="2" s="1"/>
  <c r="K41" i="2"/>
  <c r="I19" i="2"/>
  <c r="I44" i="2" s="1"/>
  <c r="S27" i="2" s="1"/>
  <c r="I18" i="2"/>
  <c r="I43" i="2" s="1"/>
  <c r="S26" i="2" s="1"/>
  <c r="M43" i="17"/>
  <c r="L45" i="17" s="1"/>
  <c r="G33" i="12"/>
  <c r="F20" i="20"/>
  <c r="F41" i="23"/>
  <c r="F33" i="23"/>
  <c r="G33" i="23"/>
  <c r="G20" i="20"/>
  <c r="G21" i="20" s="1"/>
  <c r="G41" i="23"/>
  <c r="F29" i="12"/>
  <c r="G65" i="12"/>
  <c r="K48" i="10"/>
  <c r="S76" i="10"/>
  <c r="I50" i="10"/>
  <c r="S77" i="10" s="1"/>
  <c r="I51" i="10"/>
  <c r="S78" i="10" s="1"/>
  <c r="F28" i="12"/>
  <c r="G64" i="12"/>
  <c r="F23" i="12"/>
  <c r="G59" i="12"/>
  <c r="F14" i="18"/>
  <c r="F11" i="19"/>
  <c r="G32" i="12"/>
  <c r="H63" i="12" l="1"/>
  <c r="C24" i="19"/>
  <c r="C25" i="19" s="1"/>
  <c r="C12" i="22" s="1"/>
  <c r="S51" i="12"/>
  <c r="I19" i="20"/>
  <c r="S19" i="20" s="1"/>
  <c r="E18" i="19"/>
  <c r="R18" i="19" s="1"/>
  <c r="B15" i="24" s="1"/>
  <c r="L48" i="17"/>
  <c r="L47" i="17"/>
  <c r="S15" i="19"/>
  <c r="K49" i="17"/>
  <c r="H52" i="12"/>
  <c r="H21" i="18" s="1"/>
  <c r="H23" i="18" s="1"/>
  <c r="F24" i="12"/>
  <c r="F34" i="12" s="1"/>
  <c r="F11" i="4" s="1"/>
  <c r="F12" i="4" s="1"/>
  <c r="K50" i="10"/>
  <c r="T77" i="10" s="1"/>
  <c r="K49" i="10"/>
  <c r="I45" i="2"/>
  <c r="I47" i="12"/>
  <c r="S48" i="12" s="1"/>
  <c r="L44" i="17"/>
  <c r="L46" i="17"/>
  <c r="H62" i="12"/>
  <c r="H26" i="12" s="1"/>
  <c r="F70" i="12"/>
  <c r="F12" i="20" s="1"/>
  <c r="E9" i="22"/>
  <c r="R9" i="22" s="1"/>
  <c r="H9" i="4"/>
  <c r="H14" i="18" s="1"/>
  <c r="H32" i="23"/>
  <c r="H33" i="23" s="1"/>
  <c r="G15" i="20"/>
  <c r="G14" i="18"/>
  <c r="G40" i="23"/>
  <c r="G42" i="23" s="1"/>
  <c r="D10" i="22"/>
  <c r="H29" i="18"/>
  <c r="S79" i="10"/>
  <c r="AD24" i="18"/>
  <c r="D11" i="24" s="1"/>
  <c r="L8" i="18"/>
  <c r="L39" i="18" s="1"/>
  <c r="T8" i="18"/>
  <c r="AD51" i="18" s="1"/>
  <c r="F21" i="20"/>
  <c r="I15" i="18"/>
  <c r="S15" i="18" s="1"/>
  <c r="I49" i="12"/>
  <c r="S50" i="12" s="1"/>
  <c r="I41" i="12"/>
  <c r="I51" i="12"/>
  <c r="I69" i="12" s="1"/>
  <c r="S25" i="2"/>
  <c r="S28" i="2" s="1"/>
  <c r="S26" i="4"/>
  <c r="I43" i="12"/>
  <c r="S44" i="12" s="1"/>
  <c r="G21" i="18"/>
  <c r="I37" i="17"/>
  <c r="I26" i="18" s="1"/>
  <c r="I44" i="12"/>
  <c r="S45" i="12" s="1"/>
  <c r="I48" i="12"/>
  <c r="S49" i="12" s="1"/>
  <c r="I45" i="12"/>
  <c r="S46" i="12" s="1"/>
  <c r="I42" i="12"/>
  <c r="S43" i="12" s="1"/>
  <c r="I52" i="10"/>
  <c r="I19" i="23" s="1"/>
  <c r="I28" i="23" s="1"/>
  <c r="I46" i="12"/>
  <c r="S47" i="12" s="1"/>
  <c r="F42" i="23"/>
  <c r="E12" i="4"/>
  <c r="R27" i="4"/>
  <c r="R28" i="4" s="1"/>
  <c r="G35" i="23"/>
  <c r="H27" i="12"/>
  <c r="H66" i="12"/>
  <c r="G30" i="12"/>
  <c r="L28" i="17"/>
  <c r="K30" i="17" s="1"/>
  <c r="K33" i="17"/>
  <c r="K35" i="17"/>
  <c r="K31" i="17"/>
  <c r="K36" i="17"/>
  <c r="K34" i="17"/>
  <c r="K32" i="17"/>
  <c r="H32" i="12"/>
  <c r="I68" i="12"/>
  <c r="S69" i="12" s="1"/>
  <c r="K27" i="11"/>
  <c r="K10" i="4" s="1"/>
  <c r="T27" i="11"/>
  <c r="T34" i="11" s="1"/>
  <c r="G31" i="12"/>
  <c r="H67" i="12"/>
  <c r="G8" i="22"/>
  <c r="G16" i="19"/>
  <c r="G13" i="19"/>
  <c r="H15" i="20"/>
  <c r="H29" i="23"/>
  <c r="H40" i="23"/>
  <c r="H64" i="12"/>
  <c r="G28" i="12"/>
  <c r="H33" i="12"/>
  <c r="N43" i="17"/>
  <c r="M44" i="17" s="1"/>
  <c r="B24" i="19"/>
  <c r="B11" i="22"/>
  <c r="G23" i="12"/>
  <c r="H59" i="12" s="1"/>
  <c r="D11" i="22"/>
  <c r="D24" i="19"/>
  <c r="D25" i="19" s="1"/>
  <c r="D12" i="22" s="1"/>
  <c r="F12" i="19"/>
  <c r="L48" i="10"/>
  <c r="L49" i="10" s="1"/>
  <c r="T75" i="10"/>
  <c r="K51" i="10"/>
  <c r="T78" i="10" s="1"/>
  <c r="H65" i="12"/>
  <c r="G29" i="12"/>
  <c r="K19" i="2"/>
  <c r="K44" i="2" s="1"/>
  <c r="T27" i="2" s="1"/>
  <c r="T24" i="2"/>
  <c r="U24" i="2" s="1"/>
  <c r="V24" i="2" s="1"/>
  <c r="W24" i="2" s="1"/>
  <c r="L41" i="2"/>
  <c r="K18" i="2"/>
  <c r="K43" i="2" s="1"/>
  <c r="T26" i="2" s="1"/>
  <c r="K17" i="2"/>
  <c r="K42" i="2" s="1"/>
  <c r="G25" i="12"/>
  <c r="H61" i="12" s="1"/>
  <c r="L22" i="11"/>
  <c r="U29" i="11" s="1"/>
  <c r="L26" i="11"/>
  <c r="U33" i="11" s="1"/>
  <c r="L23" i="11"/>
  <c r="U30" i="11" s="1"/>
  <c r="M18" i="11"/>
  <c r="L20" i="11"/>
  <c r="L24" i="11"/>
  <c r="U31" i="11" s="1"/>
  <c r="L21" i="11"/>
  <c r="U28" i="11" s="1"/>
  <c r="L25" i="11"/>
  <c r="U32" i="11" s="1"/>
  <c r="U25" i="11"/>
  <c r="L40" i="12"/>
  <c r="K50" i="12" s="1"/>
  <c r="T51" i="12" s="1"/>
  <c r="K48" i="12"/>
  <c r="T49" i="12" s="1"/>
  <c r="K47" i="12"/>
  <c r="T48" i="12" s="1"/>
  <c r="K41" i="12"/>
  <c r="T41" i="12"/>
  <c r="K49" i="12"/>
  <c r="T50" i="12" s="1"/>
  <c r="F35" i="23"/>
  <c r="G60" i="12" l="1"/>
  <c r="E19" i="19"/>
  <c r="R19" i="19" s="1"/>
  <c r="B13" i="24" s="1"/>
  <c r="C17" i="18"/>
  <c r="C18" i="18" s="1"/>
  <c r="C31" i="18" s="1"/>
  <c r="L49" i="17"/>
  <c r="L27" i="18" s="1"/>
  <c r="U27" i="18" s="1"/>
  <c r="K19" i="20"/>
  <c r="T19" i="20" s="1"/>
  <c r="K27" i="18"/>
  <c r="T27" i="18" s="1"/>
  <c r="K45" i="12"/>
  <c r="T46" i="12" s="1"/>
  <c r="K29" i="17"/>
  <c r="K37" i="17" s="1"/>
  <c r="K26" i="18" s="1"/>
  <c r="T26" i="18" s="1"/>
  <c r="K43" i="12"/>
  <c r="T44" i="12" s="1"/>
  <c r="K46" i="12"/>
  <c r="T47" i="12" s="1"/>
  <c r="I62" i="12"/>
  <c r="S63" i="12" s="1"/>
  <c r="H41" i="23"/>
  <c r="H42" i="23" s="1"/>
  <c r="L50" i="10"/>
  <c r="U77" i="10" s="1"/>
  <c r="H20" i="20"/>
  <c r="H21" i="20" s="1"/>
  <c r="H11" i="19"/>
  <c r="H12" i="19" s="1"/>
  <c r="H8" i="22" s="1"/>
  <c r="I9" i="4"/>
  <c r="S25" i="4" s="1"/>
  <c r="I32" i="23"/>
  <c r="I41" i="23" s="1"/>
  <c r="I29" i="18"/>
  <c r="S29" i="18" s="1"/>
  <c r="S26" i="18"/>
  <c r="AE24" i="18"/>
  <c r="E11" i="24" s="1"/>
  <c r="U8" i="18"/>
  <c r="AE51" i="18" s="1"/>
  <c r="M8" i="18"/>
  <c r="M39" i="18" s="1"/>
  <c r="K51" i="12"/>
  <c r="M45" i="17"/>
  <c r="G23" i="18"/>
  <c r="M47" i="17"/>
  <c r="I63" i="12"/>
  <c r="S64" i="12" s="1"/>
  <c r="I52" i="12"/>
  <c r="S42" i="12"/>
  <c r="S52" i="12" s="1"/>
  <c r="C16" i="24" s="1"/>
  <c r="K44" i="12"/>
  <c r="T45" i="12" s="1"/>
  <c r="B25" i="19"/>
  <c r="M48" i="17"/>
  <c r="M46" i="17"/>
  <c r="K42" i="12"/>
  <c r="T43" i="12" s="1"/>
  <c r="D17" i="18"/>
  <c r="D18" i="18" s="1"/>
  <c r="D31" i="18" s="1"/>
  <c r="H35" i="23"/>
  <c r="H36" i="23" s="1"/>
  <c r="T25" i="2"/>
  <c r="T28" i="2" s="1"/>
  <c r="K45" i="2"/>
  <c r="M48" i="10"/>
  <c r="M49" i="10" s="1"/>
  <c r="U75" i="10"/>
  <c r="L51" i="10"/>
  <c r="U78" i="10" s="1"/>
  <c r="H28" i="12"/>
  <c r="I64" i="12" s="1"/>
  <c r="S65" i="12" s="1"/>
  <c r="G9" i="22"/>
  <c r="F8" i="22"/>
  <c r="F13" i="19"/>
  <c r="F16" i="19"/>
  <c r="B17" i="18"/>
  <c r="N47" i="17"/>
  <c r="N44" i="17"/>
  <c r="N46" i="17"/>
  <c r="N45" i="17"/>
  <c r="N48" i="17"/>
  <c r="T26" i="4"/>
  <c r="K15" i="18"/>
  <c r="T15" i="18" s="1"/>
  <c r="K15" i="19"/>
  <c r="T15" i="19" s="1"/>
  <c r="K68" i="12"/>
  <c r="I32" i="12"/>
  <c r="S33" i="12" s="1"/>
  <c r="M28" i="17"/>
  <c r="L30" i="17" s="1"/>
  <c r="L34" i="17"/>
  <c r="L32" i="17"/>
  <c r="L31" i="17"/>
  <c r="L33" i="17"/>
  <c r="L35" i="17"/>
  <c r="L36" i="17"/>
  <c r="G36" i="23"/>
  <c r="F36" i="23"/>
  <c r="T42" i="12"/>
  <c r="M40" i="12"/>
  <c r="L51" i="12" s="1"/>
  <c r="U41" i="12"/>
  <c r="L17" i="2"/>
  <c r="L42" i="2" s="1"/>
  <c r="M41" i="2"/>
  <c r="L19" i="2"/>
  <c r="L44" i="2" s="1"/>
  <c r="U27" i="2" s="1"/>
  <c r="L18" i="2"/>
  <c r="L43" i="2" s="1"/>
  <c r="U26" i="2" s="1"/>
  <c r="T76" i="10"/>
  <c r="T79" i="10" s="1"/>
  <c r="K52" i="10"/>
  <c r="K19" i="23" s="1"/>
  <c r="H23" i="12"/>
  <c r="I59" i="12" s="1"/>
  <c r="S60" i="12" s="1"/>
  <c r="I15" i="20"/>
  <c r="S15" i="20" s="1"/>
  <c r="I29" i="23"/>
  <c r="I40" i="23"/>
  <c r="H31" i="12"/>
  <c r="I67" i="12"/>
  <c r="S68" i="12" s="1"/>
  <c r="M22" i="11"/>
  <c r="V29" i="11" s="1"/>
  <c r="M26" i="11"/>
  <c r="V33" i="11" s="1"/>
  <c r="M23" i="11"/>
  <c r="V30" i="11" s="1"/>
  <c r="M20" i="11"/>
  <c r="M24" i="11"/>
  <c r="V31" i="11" s="1"/>
  <c r="M21" i="11"/>
  <c r="V28" i="11" s="1"/>
  <c r="N18" i="11"/>
  <c r="V25" i="11"/>
  <c r="M25" i="11"/>
  <c r="V32" i="11" s="1"/>
  <c r="L27" i="11"/>
  <c r="L10" i="4" s="1"/>
  <c r="U27" i="11"/>
  <c r="U34" i="11" s="1"/>
  <c r="H25" i="12"/>
  <c r="I61" i="12"/>
  <c r="S62" i="12" s="1"/>
  <c r="H29" i="12"/>
  <c r="I65" i="12"/>
  <c r="S66" i="12" s="1"/>
  <c r="I33" i="12"/>
  <c r="F18" i="19"/>
  <c r="F13" i="20"/>
  <c r="I66" i="12"/>
  <c r="S67" i="12" s="1"/>
  <c r="H30" i="12"/>
  <c r="E10" i="22" l="1"/>
  <c r="R10" i="22" s="1"/>
  <c r="G24" i="12"/>
  <c r="G34" i="12" s="1"/>
  <c r="G11" i="4" s="1"/>
  <c r="G12" i="4" s="1"/>
  <c r="G70" i="12"/>
  <c r="G12" i="20" s="1"/>
  <c r="E22" i="19"/>
  <c r="R22" i="19" s="1"/>
  <c r="G18" i="19"/>
  <c r="G19" i="19" s="1"/>
  <c r="G10" i="22" s="1"/>
  <c r="L19" i="20"/>
  <c r="U19" i="20" s="1"/>
  <c r="L47" i="12"/>
  <c r="U48" i="12" s="1"/>
  <c r="M49" i="17"/>
  <c r="L29" i="17"/>
  <c r="L37" i="17" s="1"/>
  <c r="G13" i="20"/>
  <c r="I26" i="12"/>
  <c r="S27" i="12" s="1"/>
  <c r="I27" i="12"/>
  <c r="K62" i="12"/>
  <c r="K26" i="12" s="1"/>
  <c r="T27" i="12" s="1"/>
  <c r="K52" i="12"/>
  <c r="K21" i="18" s="1"/>
  <c r="K23" i="18" s="1"/>
  <c r="T23" i="18" s="1"/>
  <c r="H13" i="19"/>
  <c r="H16" i="19"/>
  <c r="H9" i="22" s="1"/>
  <c r="I20" i="20"/>
  <c r="I33" i="23"/>
  <c r="I35" i="23" s="1"/>
  <c r="I36" i="23" s="1"/>
  <c r="I16" i="18" s="1"/>
  <c r="I14" i="18"/>
  <c r="S14" i="18" s="1"/>
  <c r="I11" i="19"/>
  <c r="S11" i="19" s="1"/>
  <c r="B12" i="22"/>
  <c r="I42" i="23"/>
  <c r="M19" i="20"/>
  <c r="V19" i="20" s="1"/>
  <c r="M27" i="18"/>
  <c r="V27" i="18" s="1"/>
  <c r="L44" i="12"/>
  <c r="U45" i="12" s="1"/>
  <c r="L41" i="12"/>
  <c r="U42" i="12" s="1"/>
  <c r="L48" i="12"/>
  <c r="U49" i="12" s="1"/>
  <c r="L45" i="12"/>
  <c r="U46" i="12" s="1"/>
  <c r="L49" i="12"/>
  <c r="U50" i="12" s="1"/>
  <c r="I21" i="18"/>
  <c r="N49" i="17"/>
  <c r="N19" i="20" s="1"/>
  <c r="K69" i="12"/>
  <c r="L69" i="12" s="1"/>
  <c r="L42" i="12"/>
  <c r="U43" i="12" s="1"/>
  <c r="L46" i="12"/>
  <c r="U47" i="12" s="1"/>
  <c r="K29" i="18"/>
  <c r="T29" i="18" s="1"/>
  <c r="B18" i="18"/>
  <c r="L50" i="12"/>
  <c r="U51" i="12" s="1"/>
  <c r="L43" i="12"/>
  <c r="U44" i="12" s="1"/>
  <c r="AF24" i="18"/>
  <c r="F11" i="24" s="1"/>
  <c r="V8" i="18"/>
  <c r="AF51" i="18" s="1"/>
  <c r="N8" i="18"/>
  <c r="N39" i="18" s="1"/>
  <c r="O39" i="18" s="1"/>
  <c r="T52" i="12"/>
  <c r="D16" i="24" s="1"/>
  <c r="G16" i="18"/>
  <c r="H16" i="18"/>
  <c r="F16" i="18"/>
  <c r="K32" i="23"/>
  <c r="K9" i="4"/>
  <c r="K28" i="23"/>
  <c r="N40" i="12"/>
  <c r="M47" i="12" s="1"/>
  <c r="V48" i="12" s="1"/>
  <c r="V41" i="12"/>
  <c r="U76" i="10"/>
  <c r="U79" i="10" s="1"/>
  <c r="L52" i="10"/>
  <c r="L19" i="23" s="1"/>
  <c r="V75" i="10"/>
  <c r="N48" i="10"/>
  <c r="M51" i="10"/>
  <c r="V78" i="10" s="1"/>
  <c r="M50" i="10"/>
  <c r="V77" i="10" s="1"/>
  <c r="M27" i="11"/>
  <c r="M10" i="4" s="1"/>
  <c r="V27" i="11"/>
  <c r="V34" i="11" s="1"/>
  <c r="N28" i="17"/>
  <c r="M30" i="17" s="1"/>
  <c r="M31" i="17"/>
  <c r="M36" i="17"/>
  <c r="M34" i="17"/>
  <c r="M32" i="17"/>
  <c r="M33" i="17"/>
  <c r="M35" i="17"/>
  <c r="T69" i="12"/>
  <c r="K32" i="12"/>
  <c r="T33" i="12" s="1"/>
  <c r="L68" i="12"/>
  <c r="I25" i="12"/>
  <c r="S26" i="12" s="1"/>
  <c r="K65" i="12"/>
  <c r="I29" i="12"/>
  <c r="S30" i="12" s="1"/>
  <c r="N20" i="11"/>
  <c r="N24" i="11"/>
  <c r="W31" i="11" s="1"/>
  <c r="N21" i="11"/>
  <c r="W28" i="11" s="1"/>
  <c r="N25" i="11"/>
  <c r="W32" i="11" s="1"/>
  <c r="N22" i="11"/>
  <c r="W29" i="11" s="1"/>
  <c r="N26" i="11"/>
  <c r="W33" i="11" s="1"/>
  <c r="N23" i="11"/>
  <c r="W30" i="11" s="1"/>
  <c r="W25" i="11"/>
  <c r="M17" i="2"/>
  <c r="M42" i="2" s="1"/>
  <c r="N41" i="2"/>
  <c r="M19" i="2"/>
  <c r="M44" i="2" s="1"/>
  <c r="V27" i="2" s="1"/>
  <c r="M18" i="2"/>
  <c r="M43" i="2" s="1"/>
  <c r="V26" i="2" s="1"/>
  <c r="I28" i="12"/>
  <c r="S29" i="12" s="1"/>
  <c r="I30" i="12"/>
  <c r="S31" i="12" s="1"/>
  <c r="K66" i="12"/>
  <c r="U26" i="4"/>
  <c r="L15" i="19"/>
  <c r="U15" i="19" s="1"/>
  <c r="L15" i="18"/>
  <c r="U15" i="18" s="1"/>
  <c r="K67" i="12"/>
  <c r="I31" i="12"/>
  <c r="S32" i="12" s="1"/>
  <c r="I23" i="12"/>
  <c r="S24" i="12" s="1"/>
  <c r="U25" i="2"/>
  <c r="U28" i="2" s="1"/>
  <c r="L45" i="2"/>
  <c r="F9" i="22"/>
  <c r="F19" i="19"/>
  <c r="K64" i="12" l="1"/>
  <c r="H60" i="12"/>
  <c r="E24" i="19"/>
  <c r="R24" i="19" s="1"/>
  <c r="B14" i="24" s="1"/>
  <c r="B19" i="24" s="1"/>
  <c r="B23" i="24" s="1"/>
  <c r="E11" i="22"/>
  <c r="R11" i="22" s="1"/>
  <c r="G22" i="19"/>
  <c r="G11" i="22" s="1"/>
  <c r="T63" i="12"/>
  <c r="N27" i="18"/>
  <c r="W27" i="18" s="1"/>
  <c r="M50" i="12"/>
  <c r="V51" i="12" s="1"/>
  <c r="M48" i="12"/>
  <c r="V49" i="12" s="1"/>
  <c r="M45" i="12"/>
  <c r="V46" i="12" s="1"/>
  <c r="M43" i="12"/>
  <c r="V44" i="12" s="1"/>
  <c r="S16" i="18"/>
  <c r="C17" i="24" s="1"/>
  <c r="M29" i="17"/>
  <c r="M37" i="17" s="1"/>
  <c r="M26" i="18" s="1"/>
  <c r="M29" i="18" s="1"/>
  <c r="V29" i="18" s="1"/>
  <c r="N49" i="10"/>
  <c r="N50" i="10"/>
  <c r="W77" i="10" s="1"/>
  <c r="M46" i="12"/>
  <c r="V47" i="12" s="1"/>
  <c r="I21" i="20"/>
  <c r="S21" i="20" s="1"/>
  <c r="S20" i="20"/>
  <c r="M44" i="12"/>
  <c r="V45" i="12" s="1"/>
  <c r="M49" i="12"/>
  <c r="V50" i="12" s="1"/>
  <c r="M42" i="12"/>
  <c r="V43" i="12" s="1"/>
  <c r="L26" i="18"/>
  <c r="U26" i="18" s="1"/>
  <c r="L62" i="12"/>
  <c r="L26" i="12" s="1"/>
  <c r="U27" i="12" s="1"/>
  <c r="S28" i="12"/>
  <c r="K63" i="12"/>
  <c r="K61" i="12"/>
  <c r="K25" i="12" s="1"/>
  <c r="T26" i="12" s="1"/>
  <c r="L52" i="12"/>
  <c r="L21" i="18" s="1"/>
  <c r="L23" i="18" s="1"/>
  <c r="U23" i="18" s="1"/>
  <c r="U52" i="12"/>
  <c r="E16" i="24" s="1"/>
  <c r="K59" i="12"/>
  <c r="T21" i="18"/>
  <c r="I12" i="19"/>
  <c r="S12" i="19" s="1"/>
  <c r="S13" i="19" s="1"/>
  <c r="AG24" i="18"/>
  <c r="G11" i="24" s="1"/>
  <c r="W8" i="18"/>
  <c r="AG51" i="18" s="1"/>
  <c r="B31" i="18"/>
  <c r="M41" i="12"/>
  <c r="V42" i="12" s="1"/>
  <c r="K33" i="12"/>
  <c r="M51" i="12"/>
  <c r="M69" i="12" s="1"/>
  <c r="I23" i="18"/>
  <c r="S23" i="18" s="1"/>
  <c r="S21" i="18"/>
  <c r="W19" i="20"/>
  <c r="L33" i="12"/>
  <c r="U63" i="12"/>
  <c r="N36" i="17"/>
  <c r="N30" i="17"/>
  <c r="N32" i="17"/>
  <c r="N29" i="17"/>
  <c r="N35" i="17"/>
  <c r="N33" i="17"/>
  <c r="N34" i="17"/>
  <c r="N31" i="17"/>
  <c r="V26" i="4"/>
  <c r="M15" i="18"/>
  <c r="V15" i="18" s="1"/>
  <c r="M15" i="19"/>
  <c r="V15" i="19" s="1"/>
  <c r="W75" i="10"/>
  <c r="N51" i="10"/>
  <c r="W78" i="10" s="1"/>
  <c r="L66" i="12"/>
  <c r="K30" i="12"/>
  <c r="T31" i="12" s="1"/>
  <c r="T67" i="12"/>
  <c r="N27" i="11"/>
  <c r="N10" i="4" s="1"/>
  <c r="W27" i="11"/>
  <c r="W34" i="11" s="1"/>
  <c r="L32" i="12"/>
  <c r="U33" i="12" s="1"/>
  <c r="U69" i="12"/>
  <c r="K15" i="20"/>
  <c r="T15" i="20" s="1"/>
  <c r="K29" i="23"/>
  <c r="K40" i="23"/>
  <c r="K28" i="12"/>
  <c r="T29" i="12" s="1"/>
  <c r="T65" i="12"/>
  <c r="N19" i="2"/>
  <c r="N44" i="2" s="1"/>
  <c r="W27" i="2" s="1"/>
  <c r="N18" i="2"/>
  <c r="N43" i="2" s="1"/>
  <c r="W26" i="2" s="1"/>
  <c r="N17" i="2"/>
  <c r="N42" i="2" s="1"/>
  <c r="V76" i="10"/>
  <c r="V79" i="10" s="1"/>
  <c r="M52" i="10"/>
  <c r="M19" i="23" s="1"/>
  <c r="L9" i="4"/>
  <c r="L28" i="23"/>
  <c r="L40" i="23" s="1"/>
  <c r="L32" i="23"/>
  <c r="N49" i="12"/>
  <c r="W50" i="12" s="1"/>
  <c r="N43" i="12"/>
  <c r="W44" i="12" s="1"/>
  <c r="N50" i="12"/>
  <c r="W51" i="12" s="1"/>
  <c r="W41" i="12"/>
  <c r="N45" i="12"/>
  <c r="W46" i="12" s="1"/>
  <c r="N51" i="12"/>
  <c r="N48" i="12"/>
  <c r="W49" i="12" s="1"/>
  <c r="N41" i="12"/>
  <c r="N46" i="12"/>
  <c r="W47" i="12" s="1"/>
  <c r="N44" i="12"/>
  <c r="W45" i="12" s="1"/>
  <c r="N47" i="12"/>
  <c r="W48" i="12" s="1"/>
  <c r="N42" i="12"/>
  <c r="W43" i="12" s="1"/>
  <c r="T25" i="4"/>
  <c r="K11" i="19"/>
  <c r="K14" i="18"/>
  <c r="F22" i="19"/>
  <c r="F10" i="22"/>
  <c r="K31" i="12"/>
  <c r="T32" i="12" s="1"/>
  <c r="L67" i="12"/>
  <c r="T68" i="12"/>
  <c r="V25" i="2"/>
  <c r="V28" i="2" s="1"/>
  <c r="M45" i="2"/>
  <c r="T66" i="12"/>
  <c r="K29" i="12"/>
  <c r="T30" i="12" s="1"/>
  <c r="K41" i="23"/>
  <c r="K20" i="20"/>
  <c r="K33" i="23"/>
  <c r="L64" i="12" l="1"/>
  <c r="E25" i="19"/>
  <c r="E12" i="22" s="1"/>
  <c r="R12" i="22" s="1"/>
  <c r="H70" i="12"/>
  <c r="H12" i="20" s="1"/>
  <c r="H24" i="12"/>
  <c r="H34" i="12" s="1"/>
  <c r="H11" i="4" s="1"/>
  <c r="E17" i="18"/>
  <c r="E18" i="18" s="1"/>
  <c r="E31" i="18" s="1"/>
  <c r="R31" i="18" s="1"/>
  <c r="G24" i="19"/>
  <c r="G25" i="19" s="1"/>
  <c r="G12" i="22" s="1"/>
  <c r="M68" i="12"/>
  <c r="M62" i="12"/>
  <c r="M26" i="12" s="1"/>
  <c r="V27" i="12" s="1"/>
  <c r="T62" i="12"/>
  <c r="V52" i="12"/>
  <c r="F16" i="24" s="1"/>
  <c r="L29" i="18"/>
  <c r="U29" i="18" s="1"/>
  <c r="N37" i="17"/>
  <c r="V26" i="18"/>
  <c r="T60" i="12"/>
  <c r="K23" i="12"/>
  <c r="T24" i="12" s="1"/>
  <c r="K27" i="12"/>
  <c r="T28" i="12" s="1"/>
  <c r="T64" i="12"/>
  <c r="L59" i="12"/>
  <c r="L23" i="12" s="1"/>
  <c r="L63" i="12"/>
  <c r="L65" i="12"/>
  <c r="U66" i="12" s="1"/>
  <c r="L61" i="12"/>
  <c r="U62" i="12" s="1"/>
  <c r="I16" i="19"/>
  <c r="S16" i="19" s="1"/>
  <c r="I8" i="22"/>
  <c r="S8" i="22" s="1"/>
  <c r="I13" i="19"/>
  <c r="K42" i="23"/>
  <c r="M52" i="12"/>
  <c r="M21" i="18" s="1"/>
  <c r="B33" i="18"/>
  <c r="C40" i="18" s="1"/>
  <c r="T20" i="20"/>
  <c r="K21" i="20"/>
  <c r="T21" i="20" s="1"/>
  <c r="U21" i="18"/>
  <c r="T11" i="19"/>
  <c r="K12" i="19"/>
  <c r="L20" i="20"/>
  <c r="L41" i="23"/>
  <c r="L42" i="23" s="1"/>
  <c r="L33" i="23"/>
  <c r="W25" i="2"/>
  <c r="W28" i="2" s="1"/>
  <c r="N45" i="2"/>
  <c r="W26" i="4"/>
  <c r="N15" i="19"/>
  <c r="W15" i="19" s="1"/>
  <c r="N15" i="18"/>
  <c r="W15" i="18" s="1"/>
  <c r="N69" i="12"/>
  <c r="N33" i="12" s="1"/>
  <c r="M33" i="12"/>
  <c r="F24" i="19"/>
  <c r="F11" i="22"/>
  <c r="L15" i="20"/>
  <c r="U15" i="20" s="1"/>
  <c r="L29" i="23"/>
  <c r="V69" i="12"/>
  <c r="N68" i="12"/>
  <c r="M32" i="12"/>
  <c r="V33" i="12" s="1"/>
  <c r="W76" i="10"/>
  <c r="W79" i="10" s="1"/>
  <c r="N52" i="10"/>
  <c r="N19" i="23" s="1"/>
  <c r="T14" i="18"/>
  <c r="W42" i="12"/>
  <c r="W52" i="12" s="1"/>
  <c r="G16" i="24" s="1"/>
  <c r="N52" i="12"/>
  <c r="L14" i="18"/>
  <c r="U25" i="4"/>
  <c r="L11" i="19"/>
  <c r="M67" i="12"/>
  <c r="L31" i="12"/>
  <c r="U32" i="12" s="1"/>
  <c r="U68" i="12"/>
  <c r="M32" i="23"/>
  <c r="M9" i="4"/>
  <c r="M28" i="23"/>
  <c r="L28" i="12"/>
  <c r="U29" i="12" s="1"/>
  <c r="M64" i="12"/>
  <c r="U65" i="12"/>
  <c r="K35" i="23"/>
  <c r="L30" i="12"/>
  <c r="U31" i="12" s="1"/>
  <c r="U67" i="12"/>
  <c r="R25" i="19" l="1"/>
  <c r="AB25" i="18"/>
  <c r="R17" i="18"/>
  <c r="I60" i="12"/>
  <c r="H18" i="19"/>
  <c r="H19" i="19" s="1"/>
  <c r="H12" i="4"/>
  <c r="H13" i="20"/>
  <c r="R18" i="18"/>
  <c r="AB52" i="18" s="1"/>
  <c r="AB53" i="18" s="1"/>
  <c r="M66" i="12"/>
  <c r="M30" i="12" s="1"/>
  <c r="V31" i="12" s="1"/>
  <c r="G17" i="18"/>
  <c r="G18" i="18" s="1"/>
  <c r="G31" i="18" s="1"/>
  <c r="V63" i="12"/>
  <c r="M59" i="12"/>
  <c r="M23" i="12" s="1"/>
  <c r="U60" i="12"/>
  <c r="N26" i="18"/>
  <c r="N29" i="18" s="1"/>
  <c r="W29" i="18" s="1"/>
  <c r="L27" i="12"/>
  <c r="U28" i="12" s="1"/>
  <c r="M63" i="12"/>
  <c r="U64" i="12"/>
  <c r="L25" i="12"/>
  <c r="U26" i="12" s="1"/>
  <c r="L29" i="12"/>
  <c r="U30" i="12" s="1"/>
  <c r="V21" i="18"/>
  <c r="M23" i="18"/>
  <c r="V23" i="18" s="1"/>
  <c r="N62" i="12"/>
  <c r="W63" i="12" s="1"/>
  <c r="I9" i="22"/>
  <c r="S9" i="22" s="1"/>
  <c r="F25" i="19"/>
  <c r="F12" i="22" s="1"/>
  <c r="B11" i="20"/>
  <c r="C10" i="18"/>
  <c r="C33" i="18" s="1"/>
  <c r="D40" i="18" s="1"/>
  <c r="U20" i="20"/>
  <c r="L21" i="20"/>
  <c r="U21" i="20" s="1"/>
  <c r="N21" i="18"/>
  <c r="W21" i="18" s="1"/>
  <c r="L35" i="23"/>
  <c r="L36" i="23" s="1"/>
  <c r="K36" i="23"/>
  <c r="M41" i="23"/>
  <c r="M33" i="23"/>
  <c r="M20" i="20"/>
  <c r="U24" i="12"/>
  <c r="N32" i="12"/>
  <c r="W33" i="12" s="1"/>
  <c r="W69" i="12"/>
  <c r="V68" i="12"/>
  <c r="M31" i="12"/>
  <c r="V32" i="12" s="1"/>
  <c r="N67" i="12"/>
  <c r="V65" i="12"/>
  <c r="M28" i="12"/>
  <c r="V29" i="12" s="1"/>
  <c r="M15" i="20"/>
  <c r="V15" i="20" s="1"/>
  <c r="M29" i="23"/>
  <c r="U14" i="18"/>
  <c r="M40" i="23"/>
  <c r="M14" i="18"/>
  <c r="M11" i="19"/>
  <c r="V25" i="4"/>
  <c r="U11" i="19"/>
  <c r="L12" i="19"/>
  <c r="N9" i="4"/>
  <c r="N32" i="23"/>
  <c r="N28" i="23"/>
  <c r="F17" i="18"/>
  <c r="K13" i="19"/>
  <c r="T13" i="19" s="1"/>
  <c r="T12" i="19"/>
  <c r="K16" i="19"/>
  <c r="K8" i="22"/>
  <c r="T8" i="22" s="1"/>
  <c r="H22" i="19" l="1"/>
  <c r="H10" i="22"/>
  <c r="S61" i="12"/>
  <c r="S70" i="12" s="1"/>
  <c r="I24" i="12"/>
  <c r="K60" i="12"/>
  <c r="I70" i="12"/>
  <c r="I12" i="20" s="1"/>
  <c r="S12" i="20" s="1"/>
  <c r="V67" i="12"/>
  <c r="N66" i="12"/>
  <c r="N30" i="12" s="1"/>
  <c r="W31" i="12" s="1"/>
  <c r="V60" i="12"/>
  <c r="N59" i="12"/>
  <c r="N26" i="12"/>
  <c r="W27" i="12" s="1"/>
  <c r="W26" i="18"/>
  <c r="M65" i="12"/>
  <c r="M61" i="12"/>
  <c r="M27" i="12"/>
  <c r="V64" i="12"/>
  <c r="N64" i="12"/>
  <c r="M42" i="23"/>
  <c r="F18" i="18"/>
  <c r="D10" i="18"/>
  <c r="D33" i="18" s="1"/>
  <c r="E40" i="18" s="1"/>
  <c r="C11" i="20"/>
  <c r="C16" i="20" s="1"/>
  <c r="C22" i="20" s="1"/>
  <c r="C23" i="20" s="1"/>
  <c r="B16" i="20"/>
  <c r="V20" i="20"/>
  <c r="M21" i="20"/>
  <c r="V21" i="20" s="1"/>
  <c r="N23" i="18"/>
  <c r="W23" i="18" s="1"/>
  <c r="K16" i="18"/>
  <c r="M35" i="23"/>
  <c r="M36" i="23" s="1"/>
  <c r="L16" i="18"/>
  <c r="N23" i="12"/>
  <c r="W60" i="12"/>
  <c r="V24" i="12"/>
  <c r="W68" i="12"/>
  <c r="N31" i="12"/>
  <c r="W32" i="12" s="1"/>
  <c r="K9" i="22"/>
  <c r="T9" i="22" s="1"/>
  <c r="T16" i="19"/>
  <c r="N20" i="20"/>
  <c r="N33" i="23"/>
  <c r="N41" i="23"/>
  <c r="U12" i="19"/>
  <c r="L8" i="22"/>
  <c r="U8" i="22" s="1"/>
  <c r="L13" i="19"/>
  <c r="U13" i="19" s="1"/>
  <c r="L16" i="19"/>
  <c r="V11" i="19"/>
  <c r="M12" i="19"/>
  <c r="N15" i="20"/>
  <c r="W15" i="20" s="1"/>
  <c r="N29" i="23"/>
  <c r="N14" i="18"/>
  <c r="W25" i="4"/>
  <c r="N11" i="19"/>
  <c r="V14" i="18"/>
  <c r="N40" i="23"/>
  <c r="W67" i="12" l="1"/>
  <c r="T61" i="12"/>
  <c r="T70" i="12" s="1"/>
  <c r="K24" i="12"/>
  <c r="K70" i="12"/>
  <c r="K12" i="20" s="1"/>
  <c r="T12" i="20" s="1"/>
  <c r="L60" i="12"/>
  <c r="S25" i="12"/>
  <c r="S34" i="12" s="1"/>
  <c r="I34" i="12"/>
  <c r="I11" i="4" s="1"/>
  <c r="S27" i="4" s="1"/>
  <c r="S28" i="4" s="1"/>
  <c r="H11" i="22"/>
  <c r="H24" i="19"/>
  <c r="V28" i="12"/>
  <c r="N63" i="12"/>
  <c r="M25" i="12"/>
  <c r="V62" i="12"/>
  <c r="M29" i="12"/>
  <c r="V66" i="12"/>
  <c r="W65" i="12"/>
  <c r="N28" i="12"/>
  <c r="W29" i="12" s="1"/>
  <c r="N42" i="23"/>
  <c r="N35" i="23"/>
  <c r="N36" i="23" s="1"/>
  <c r="N16" i="18" s="1"/>
  <c r="W16" i="18" s="1"/>
  <c r="G17" i="24" s="1"/>
  <c r="W20" i="20"/>
  <c r="N21" i="20"/>
  <c r="W21" i="20" s="1"/>
  <c r="U16" i="18"/>
  <c r="E17" i="24" s="1"/>
  <c r="B22" i="20"/>
  <c r="B23" i="20" s="1"/>
  <c r="F31" i="18"/>
  <c r="T16" i="18"/>
  <c r="D17" i="24" s="1"/>
  <c r="D11" i="20"/>
  <c r="D16" i="20" s="1"/>
  <c r="D22" i="20" s="1"/>
  <c r="D23" i="20" s="1"/>
  <c r="E10" i="18"/>
  <c r="E33" i="18" s="1"/>
  <c r="F40" i="18" s="1"/>
  <c r="M16" i="18"/>
  <c r="W14" i="18"/>
  <c r="W24" i="12"/>
  <c r="L9" i="22"/>
  <c r="U9" i="22" s="1"/>
  <c r="U16" i="19"/>
  <c r="W11" i="19"/>
  <c r="N12" i="19"/>
  <c r="M16" i="19"/>
  <c r="M8" i="22"/>
  <c r="V8" i="22" s="1"/>
  <c r="M13" i="19"/>
  <c r="V13" i="19" s="1"/>
  <c r="V12" i="19"/>
  <c r="H25" i="19" l="1"/>
  <c r="H12" i="22" s="1"/>
  <c r="H17" i="18"/>
  <c r="H18" i="18" s="1"/>
  <c r="H31" i="18" s="1"/>
  <c r="I12" i="4"/>
  <c r="I18" i="19"/>
  <c r="I13" i="20"/>
  <c r="S13" i="20" s="1"/>
  <c r="T25" i="12"/>
  <c r="T34" i="12" s="1"/>
  <c r="K34" i="12"/>
  <c r="K11" i="4" s="1"/>
  <c r="U61" i="12"/>
  <c r="U70" i="12" s="1"/>
  <c r="L70" i="12"/>
  <c r="L12" i="20" s="1"/>
  <c r="U12" i="20" s="1"/>
  <c r="L24" i="12"/>
  <c r="M60" i="12"/>
  <c r="V26" i="12"/>
  <c r="N61" i="12"/>
  <c r="N65" i="12"/>
  <c r="V30" i="12"/>
  <c r="N27" i="12"/>
  <c r="W28" i="12" s="1"/>
  <c r="W64" i="12"/>
  <c r="E11" i="20"/>
  <c r="AB26" i="18"/>
  <c r="F10" i="18"/>
  <c r="R33" i="18"/>
  <c r="V16" i="18"/>
  <c r="F17" i="24" s="1"/>
  <c r="N8" i="22"/>
  <c r="W8" i="22" s="1"/>
  <c r="W12" i="19"/>
  <c r="N16" i="19"/>
  <c r="N13" i="19"/>
  <c r="W13" i="19" s="1"/>
  <c r="M9" i="22"/>
  <c r="V9" i="22" s="1"/>
  <c r="V16" i="19"/>
  <c r="K12" i="4" l="1"/>
  <c r="T27" i="4"/>
  <c r="T28" i="4" s="1"/>
  <c r="K18" i="19"/>
  <c r="K13" i="20"/>
  <c r="T13" i="20" s="1"/>
  <c r="V61" i="12"/>
  <c r="V70" i="12" s="1"/>
  <c r="M24" i="12"/>
  <c r="M70" i="12"/>
  <c r="M12" i="20" s="1"/>
  <c r="V12" i="20" s="1"/>
  <c r="U25" i="12"/>
  <c r="U34" i="12" s="1"/>
  <c r="L34" i="12"/>
  <c r="L11" i="4" s="1"/>
  <c r="S18" i="19"/>
  <c r="C15" i="24" s="1"/>
  <c r="I19" i="19"/>
  <c r="S19" i="19" s="1"/>
  <c r="C13" i="24" s="1"/>
  <c r="E16" i="20"/>
  <c r="R11" i="20"/>
  <c r="W66" i="12"/>
  <c r="N29" i="12"/>
  <c r="W30" i="12" s="1"/>
  <c r="N25" i="12"/>
  <c r="W62" i="12"/>
  <c r="S10" i="18"/>
  <c r="F33" i="18"/>
  <c r="G40" i="18" s="1"/>
  <c r="N9" i="22"/>
  <c r="W9" i="22" s="1"/>
  <c r="W16" i="19"/>
  <c r="V25" i="12" l="1"/>
  <c r="V34" i="12" s="1"/>
  <c r="M34" i="12"/>
  <c r="M11" i="4" s="1"/>
  <c r="I10" i="22"/>
  <c r="S10" i="22" s="1"/>
  <c r="I22" i="19"/>
  <c r="S22" i="19" s="1"/>
  <c r="N60" i="12"/>
  <c r="L12" i="4"/>
  <c r="L18" i="19"/>
  <c r="L13" i="20"/>
  <c r="U13" i="20" s="1"/>
  <c r="U27" i="4"/>
  <c r="U28" i="4" s="1"/>
  <c r="T18" i="19"/>
  <c r="D15" i="24" s="1"/>
  <c r="K19" i="19"/>
  <c r="R16" i="20"/>
  <c r="E22" i="20"/>
  <c r="W26" i="12"/>
  <c r="G10" i="18"/>
  <c r="G33" i="18" s="1"/>
  <c r="H40" i="18" s="1"/>
  <c r="F11" i="20"/>
  <c r="U18" i="19" l="1"/>
  <c r="E15" i="24" s="1"/>
  <c r="L19" i="19"/>
  <c r="W61" i="12"/>
  <c r="W70" i="12" s="1"/>
  <c r="N24" i="12"/>
  <c r="N70" i="12"/>
  <c r="N12" i="20" s="1"/>
  <c r="W12" i="20" s="1"/>
  <c r="M13" i="20"/>
  <c r="V13" i="20" s="1"/>
  <c r="V27" i="4"/>
  <c r="V28" i="4" s="1"/>
  <c r="M18" i="19"/>
  <c r="M12" i="4"/>
  <c r="I11" i="22"/>
  <c r="S11" i="22" s="1"/>
  <c r="I24" i="19"/>
  <c r="I25" i="19"/>
  <c r="K10" i="22"/>
  <c r="T10" i="22" s="1"/>
  <c r="T19" i="19"/>
  <c r="D13" i="24" s="1"/>
  <c r="K22" i="19"/>
  <c r="E23" i="20"/>
  <c r="R22" i="20"/>
  <c r="R23" i="20" s="1"/>
  <c r="H10" i="18"/>
  <c r="H33" i="18" s="1"/>
  <c r="I40" i="18" s="1"/>
  <c r="G11" i="20"/>
  <c r="G16" i="20" s="1"/>
  <c r="G22" i="20" s="1"/>
  <c r="G23" i="20" s="1"/>
  <c r="F16" i="20"/>
  <c r="I12" i="22" l="1"/>
  <c r="S12" i="22" s="1"/>
  <c r="S25" i="19"/>
  <c r="I17" i="18"/>
  <c r="S24" i="19"/>
  <c r="C14" i="24" s="1"/>
  <c r="C19" i="24" s="1"/>
  <c r="C23" i="24" s="1"/>
  <c r="M19" i="19"/>
  <c r="V18" i="19"/>
  <c r="F15" i="24" s="1"/>
  <c r="K24" i="19"/>
  <c r="K25" i="19" s="1"/>
  <c r="K11" i="22"/>
  <c r="T11" i="22" s="1"/>
  <c r="T22" i="19"/>
  <c r="W25" i="12"/>
  <c r="W34" i="12" s="1"/>
  <c r="N34" i="12"/>
  <c r="N11" i="4" s="1"/>
  <c r="L22" i="19"/>
  <c r="U19" i="19"/>
  <c r="E13" i="24" s="1"/>
  <c r="L10" i="22"/>
  <c r="U10" i="22" s="1"/>
  <c r="I10" i="18"/>
  <c r="H11" i="20"/>
  <c r="H16" i="20" s="1"/>
  <c r="H22" i="20" s="1"/>
  <c r="H23" i="20" s="1"/>
  <c r="F22" i="20"/>
  <c r="F23" i="20" s="1"/>
  <c r="I18" i="18" l="1"/>
  <c r="S17" i="18"/>
  <c r="T25" i="19"/>
  <c r="K12" i="22"/>
  <c r="T12" i="22" s="1"/>
  <c r="T24" i="19"/>
  <c r="D14" i="24" s="1"/>
  <c r="D19" i="24" s="1"/>
  <c r="D23" i="24" s="1"/>
  <c r="K17" i="18"/>
  <c r="N12" i="4"/>
  <c r="N18" i="19"/>
  <c r="N13" i="20"/>
  <c r="W13" i="20" s="1"/>
  <c r="W27" i="4"/>
  <c r="W28" i="4" s="1"/>
  <c r="L24" i="19"/>
  <c r="L11" i="22"/>
  <c r="U11" i="22" s="1"/>
  <c r="U22" i="19"/>
  <c r="L25" i="19"/>
  <c r="M10" i="22"/>
  <c r="V10" i="22" s="1"/>
  <c r="M22" i="19"/>
  <c r="V19" i="19"/>
  <c r="F13" i="24" s="1"/>
  <c r="I31" i="18" l="1"/>
  <c r="S18" i="18"/>
  <c r="AC52" i="18" s="1"/>
  <c r="AC53" i="18" s="1"/>
  <c r="K18" i="18"/>
  <c r="T17" i="18"/>
  <c r="M24" i="19"/>
  <c r="M25" i="19" s="1"/>
  <c r="V22" i="19"/>
  <c r="M11" i="22"/>
  <c r="V11" i="22" s="1"/>
  <c r="U25" i="19"/>
  <c r="L12" i="22"/>
  <c r="U12" i="22" s="1"/>
  <c r="W18" i="19"/>
  <c r="G15" i="24" s="1"/>
  <c r="N19" i="19"/>
  <c r="L17" i="18"/>
  <c r="U24" i="19"/>
  <c r="E14" i="24" s="1"/>
  <c r="E19" i="24" s="1"/>
  <c r="E23" i="24" s="1"/>
  <c r="V25" i="19" l="1"/>
  <c r="M12" i="22"/>
  <c r="V12" i="22" s="1"/>
  <c r="AC25" i="18"/>
  <c r="S31" i="18"/>
  <c r="I33" i="18"/>
  <c r="U17" i="18"/>
  <c r="L18" i="18"/>
  <c r="V24" i="19"/>
  <c r="F14" i="24" s="1"/>
  <c r="F19" i="24" s="1"/>
  <c r="F23" i="24" s="1"/>
  <c r="M17" i="18"/>
  <c r="N22" i="19"/>
  <c r="N10" i="22"/>
  <c r="W10" i="22" s="1"/>
  <c r="W19" i="19"/>
  <c r="G13" i="24" s="1"/>
  <c r="T18" i="18"/>
  <c r="AD52" i="18" s="1"/>
  <c r="AD53" i="18" s="1"/>
  <c r="K31" i="18"/>
  <c r="K40" i="18" l="1"/>
  <c r="AC26" i="18"/>
  <c r="K10" i="18"/>
  <c r="T10" i="18" s="1"/>
  <c r="S33" i="18"/>
  <c r="I11" i="20"/>
  <c r="M18" i="18"/>
  <c r="V17" i="18"/>
  <c r="U18" i="18"/>
  <c r="AE52" i="18" s="1"/>
  <c r="AE53" i="18" s="1"/>
  <c r="L31" i="18"/>
  <c r="N24" i="19"/>
  <c r="N25" i="19" s="1"/>
  <c r="N11" i="22"/>
  <c r="W11" i="22" s="1"/>
  <c r="W22" i="19"/>
  <c r="T31" i="18"/>
  <c r="AD25" i="18"/>
  <c r="K33" i="18"/>
  <c r="W25" i="19" l="1"/>
  <c r="N12" i="22"/>
  <c r="W12" i="22" s="1"/>
  <c r="S11" i="20"/>
  <c r="I16" i="20"/>
  <c r="U31" i="18"/>
  <c r="AE25" i="18"/>
  <c r="N17" i="18"/>
  <c r="W24" i="19"/>
  <c r="G14" i="24" s="1"/>
  <c r="G19" i="24" s="1"/>
  <c r="L40" i="18"/>
  <c r="L10" i="18"/>
  <c r="T33" i="18"/>
  <c r="K11" i="20"/>
  <c r="AD26" i="18"/>
  <c r="M31" i="18"/>
  <c r="V18" i="18"/>
  <c r="AF52" i="18" s="1"/>
  <c r="AF53" i="18" s="1"/>
  <c r="S16" i="20" l="1"/>
  <c r="I22" i="20"/>
  <c r="L33" i="18"/>
  <c r="U10" i="18"/>
  <c r="T11" i="20"/>
  <c r="K16" i="20"/>
  <c r="H19" i="24"/>
  <c r="H23" i="24" s="1"/>
  <c r="G23" i="24"/>
  <c r="B26" i="24" s="1"/>
  <c r="W17" i="18"/>
  <c r="N18" i="18"/>
  <c r="AF25" i="18"/>
  <c r="V31" i="18"/>
  <c r="I23" i="20" l="1"/>
  <c r="S22" i="20"/>
  <c r="S23" i="20" s="1"/>
  <c r="W18" i="18"/>
  <c r="AG52" i="18" s="1"/>
  <c r="AG53" i="18" s="1"/>
  <c r="N31" i="18"/>
  <c r="T16" i="20"/>
  <c r="K22" i="20"/>
  <c r="M40" i="18"/>
  <c r="L11" i="20"/>
  <c r="AE26" i="18"/>
  <c r="U33" i="18"/>
  <c r="M10" i="18"/>
  <c r="U11" i="20" l="1"/>
  <c r="L16" i="20"/>
  <c r="T22" i="20"/>
  <c r="T23" i="20" s="1"/>
  <c r="K23" i="20"/>
  <c r="W31" i="18"/>
  <c r="AG25" i="18"/>
  <c r="M33" i="18"/>
  <c r="V10" i="18"/>
  <c r="N40" i="18" l="1"/>
  <c r="V33" i="18"/>
  <c r="AF26" i="18"/>
  <c r="N10" i="18"/>
  <c r="M11" i="20"/>
  <c r="U16" i="20"/>
  <c r="L22" i="20"/>
  <c r="U22" i="20" l="1"/>
  <c r="U23" i="20" s="1"/>
  <c r="L23" i="20"/>
  <c r="V11" i="20"/>
  <c r="M16" i="20"/>
  <c r="W10" i="18"/>
  <c r="N33" i="18"/>
  <c r="O40" i="18" l="1"/>
  <c r="AG26" i="18"/>
  <c r="N11" i="20"/>
  <c r="W33" i="18"/>
  <c r="V16" i="20"/>
  <c r="M22" i="20"/>
  <c r="V22" i="20" l="1"/>
  <c r="V23" i="20" s="1"/>
  <c r="M23" i="20"/>
  <c r="W11" i="20"/>
  <c r="N16" i="20"/>
  <c r="W16" i="20" l="1"/>
  <c r="N22" i="20"/>
  <c r="W22" i="20" l="1"/>
  <c r="W23" i="20" s="1"/>
  <c r="N23" i="20"/>
</calcChain>
</file>

<file path=xl/sharedStrings.xml><?xml version="1.0" encoding="utf-8"?>
<sst xmlns="http://schemas.openxmlformats.org/spreadsheetml/2006/main" count="675" uniqueCount="287">
  <si>
    <t>Key</t>
    <phoneticPr fontId="0" type="noConversion"/>
  </si>
  <si>
    <t>Example</t>
    <phoneticPr fontId="0" type="noConversion"/>
  </si>
  <si>
    <t>Meaning</t>
    <phoneticPr fontId="0" type="noConversion"/>
  </si>
  <si>
    <t>Yellow Fill</t>
    <phoneticPr fontId="0" type="noConversion"/>
  </si>
  <si>
    <t>No Fill</t>
    <phoneticPr fontId="0" type="noConversion"/>
  </si>
  <si>
    <t>The user should not enter any information in empty cells</t>
    <phoneticPr fontId="0" type="noConversion"/>
  </si>
  <si>
    <t>All data in cells with no colour fill will be calculated automatically for the user</t>
    <phoneticPr fontId="0" type="noConversion"/>
  </si>
  <si>
    <t>Company Name:</t>
    <phoneticPr fontId="0" type="noConversion"/>
  </si>
  <si>
    <t>Start Date:</t>
  </si>
  <si>
    <t>The model is designed to auto-populate based on the information you provide</t>
  </si>
  <si>
    <t>Some cells are required and others are optional</t>
  </si>
  <si>
    <t>Use the colour guide to determine which inputs are needed</t>
  </si>
  <si>
    <t>Required numerical inputs</t>
  </si>
  <si>
    <t>Starting Inputs</t>
  </si>
  <si>
    <t>Introduction</t>
  </si>
  <si>
    <t xml:space="preserve">Total </t>
  </si>
  <si>
    <t>Currency, Units:</t>
  </si>
  <si>
    <t>Market Growth Rate</t>
  </si>
  <si>
    <t>Market Size and Sales Assumptions</t>
  </si>
  <si>
    <t>Market 3</t>
  </si>
  <si>
    <t>Optional numerical or text inputs</t>
  </si>
  <si>
    <t>Orange Fill</t>
  </si>
  <si>
    <t>Notes on assumptions</t>
  </si>
  <si>
    <t>Year of Market Sizing</t>
  </si>
  <si>
    <t>Product Information</t>
  </si>
  <si>
    <t>Product 3</t>
  </si>
  <si>
    <t>Year of estimate</t>
  </si>
  <si>
    <t>Bottom-Up Revenue Projection</t>
  </si>
  <si>
    <t>Top-Down Revenue Projection</t>
  </si>
  <si>
    <t>Assembly</t>
  </si>
  <si>
    <t>Enclosure</t>
  </si>
  <si>
    <t>Travel</t>
  </si>
  <si>
    <t>Administrative</t>
  </si>
  <si>
    <t>Sales and Marketing</t>
  </si>
  <si>
    <t>Shipping</t>
  </si>
  <si>
    <t>Projected Cost of Good Sold (COGS)</t>
  </si>
  <si>
    <t>Total COGS per unit</t>
  </si>
  <si>
    <t>COGS Projection - Bottom-up</t>
  </si>
  <si>
    <t>COGS Projection - Top-down</t>
  </si>
  <si>
    <t>Expected Gross Margin</t>
  </si>
  <si>
    <t>Operating Expenses</t>
  </si>
  <si>
    <t>Assumptions - Costs and Growth Rates</t>
  </si>
  <si>
    <t>Cost</t>
  </si>
  <si>
    <t>Capital Expenditure</t>
  </si>
  <si>
    <t>Method Choice</t>
  </si>
  <si>
    <t>COGS</t>
  </si>
  <si>
    <t>Bottom-up</t>
  </si>
  <si>
    <t>Top-down</t>
  </si>
  <si>
    <t>Operating Expenses Projection</t>
  </si>
  <si>
    <t>Revenues</t>
  </si>
  <si>
    <t>Revenues can be projected using either of the following methods:</t>
  </si>
  <si>
    <t>Revenue Projections - Final</t>
  </si>
  <si>
    <t>CAGR of COGS</t>
  </si>
  <si>
    <t>Projected Payroll Costs</t>
  </si>
  <si>
    <t>Gross Pay</t>
  </si>
  <si>
    <t>Employer Taxes</t>
  </si>
  <si>
    <t>Pension</t>
  </si>
  <si>
    <t>Health Insurance</t>
  </si>
  <si>
    <t>Other Benefits</t>
  </si>
  <si>
    <t>Employment Insurance</t>
  </si>
  <si>
    <t>Annual cost per person</t>
  </si>
  <si>
    <t>Assumptions - Number of persons employed</t>
  </si>
  <si>
    <t>Total Payroll Costs</t>
  </si>
  <si>
    <t>CAGR</t>
  </si>
  <si>
    <t>Annual Cost</t>
  </si>
  <si>
    <t>Professional Services</t>
  </si>
  <si>
    <t>Office</t>
  </si>
  <si>
    <t>R&amp;D Expenses</t>
  </si>
  <si>
    <t>Other costs</t>
  </si>
  <si>
    <t>Capital Expenses - Items, value, and ownership length</t>
  </si>
  <si>
    <t>Value at end of ownership</t>
  </si>
  <si>
    <t>Date of Purchase</t>
  </si>
  <si>
    <t>Ownership length (years)</t>
  </si>
  <si>
    <t>Capital Asset Value - Impact on Balance Sheet</t>
  </si>
  <si>
    <t>Depreciation</t>
  </si>
  <si>
    <t>Other Expenses</t>
  </si>
  <si>
    <t>Corporate Tax Rate</t>
  </si>
  <si>
    <t>Date</t>
  </si>
  <si>
    <t>Notes</t>
  </si>
  <si>
    <t>Financing: Fundraising and Debt</t>
  </si>
  <si>
    <t>Amount Raised</t>
  </si>
  <si>
    <t>Investor 8</t>
  </si>
  <si>
    <t>Debt</t>
  </si>
  <si>
    <t>Loan 1</t>
  </si>
  <si>
    <t>Loan 2</t>
  </si>
  <si>
    <t>Loan 3</t>
  </si>
  <si>
    <t>Loan 4</t>
  </si>
  <si>
    <t>Loan 5</t>
  </si>
  <si>
    <t>Amount of Loan</t>
  </si>
  <si>
    <t>Length of Loan (years)</t>
  </si>
  <si>
    <t>Start date of Loan</t>
  </si>
  <si>
    <t>Monthly payments</t>
  </si>
  <si>
    <t>Assets</t>
  </si>
  <si>
    <t>Cash</t>
  </si>
  <si>
    <t>Fixed Assets</t>
  </si>
  <si>
    <t>Total Assets</t>
  </si>
  <si>
    <t>Liabilities</t>
  </si>
  <si>
    <t>Gross Profit</t>
  </si>
  <si>
    <t>Gross Margin</t>
  </si>
  <si>
    <t>Taxes</t>
  </si>
  <si>
    <t>EBITDA</t>
  </si>
  <si>
    <t>Beginning Cash Balance</t>
  </si>
  <si>
    <t>Investing</t>
  </si>
  <si>
    <t>Operating</t>
  </si>
  <si>
    <t>Total Operating</t>
  </si>
  <si>
    <t>Capital Assets</t>
  </si>
  <si>
    <t>Other Investments</t>
  </si>
  <si>
    <t>Total Investing</t>
  </si>
  <si>
    <t>Financing</t>
  </si>
  <si>
    <t>Equity Funding</t>
  </si>
  <si>
    <t>Interest Payments</t>
  </si>
  <si>
    <t>Change in Debt</t>
  </si>
  <si>
    <t>Total Financing</t>
  </si>
  <si>
    <t>Cash Flow</t>
  </si>
  <si>
    <t>Ending Cash Balance</t>
  </si>
  <si>
    <t>Financing Expenses</t>
  </si>
  <si>
    <t>Profit before Tax</t>
  </si>
  <si>
    <t>Operating Profit (EBIT)</t>
  </si>
  <si>
    <t>Profit after Tax (Net Income)</t>
  </si>
  <si>
    <t>Tax on Profit over</t>
  </si>
  <si>
    <t>Balance Sheet Projections</t>
  </si>
  <si>
    <t>Equity Value</t>
  </si>
  <si>
    <t>per year</t>
  </si>
  <si>
    <t>Additional Charts</t>
  </si>
  <si>
    <t>Measures of Profitability</t>
  </si>
  <si>
    <t>Equity Fundraising</t>
  </si>
  <si>
    <t>Income from Equity Fundraising</t>
  </si>
  <si>
    <t>Round 1</t>
  </si>
  <si>
    <t>Round 2</t>
  </si>
  <si>
    <t>Round 3</t>
  </si>
  <si>
    <t>Round 4</t>
  </si>
  <si>
    <t>Round 5</t>
  </si>
  <si>
    <t>Round 6</t>
  </si>
  <si>
    <t>Round 7</t>
  </si>
  <si>
    <t>Quarterly Projections - 2 years from start</t>
  </si>
  <si>
    <t>Year 3</t>
  </si>
  <si>
    <t>Year 4</t>
  </si>
  <si>
    <t>Year 5</t>
  </si>
  <si>
    <t>Annual Projections (years 3 to 6)</t>
  </si>
  <si>
    <t>Market Penetration (years 3 to 6)</t>
  </si>
  <si>
    <t>Sales Projections</t>
  </si>
  <si>
    <t>Annual Units sold (years 3 to 6)</t>
  </si>
  <si>
    <t>Quarterly Units sold (years 1 and 2)</t>
  </si>
  <si>
    <t>Market penetration (years 1 and 2)</t>
  </si>
  <si>
    <t>Quarterly Projections (years 1 and 2)</t>
  </si>
  <si>
    <t>Quarterly COGS (years 1 and 2)</t>
  </si>
  <si>
    <t>Annual COGS (years 3 to 6)</t>
  </si>
  <si>
    <t>USD</t>
  </si>
  <si>
    <t>Bottom-up Revenue Projection</t>
  </si>
  <si>
    <t>Top-down Assumptions - Expected Gross Margin</t>
  </si>
  <si>
    <t>Count of Employees by Quarter (years 1 and 2)</t>
  </si>
  <si>
    <t>Count of Employees by year (years 3 to 6)</t>
  </si>
  <si>
    <t>Quarterly Payroll Costs (years 1 and 2)</t>
  </si>
  <si>
    <t>Annual Payroll Costs (years 3 to 6)</t>
  </si>
  <si>
    <t>Quarterly Operating Costs (years 1 and 2)</t>
  </si>
  <si>
    <t>Annual Operating Costs (years 3 to 6)</t>
  </si>
  <si>
    <t>Annual CapEx (years 3 to 6)</t>
  </si>
  <si>
    <t>Quarterly CapEx (years 1 and 2)</t>
  </si>
  <si>
    <t>Quarterly Balance Sheet impact from CapEx (years 1 and 2)</t>
  </si>
  <si>
    <t>Annual Balance Sheet impact from CapEx (years 3 to 6)</t>
  </si>
  <si>
    <t>Total Expenses</t>
  </si>
  <si>
    <t>Quarterly Cash Flow (years 1 and 2)</t>
  </si>
  <si>
    <t>Annual Cash Flow (years 3 to 6)</t>
  </si>
  <si>
    <t>Revenue Projection</t>
  </si>
  <si>
    <t>Quarterly Balance Sheet (years 1 and 2)</t>
  </si>
  <si>
    <t>Annual Balance Sheet (years 3 to 6)</t>
  </si>
  <si>
    <t>Quarterly Profit (years 1 and 2)</t>
  </si>
  <si>
    <t>Annual Profit (years 3 to 6)</t>
  </si>
  <si>
    <t>Working Capital Balances</t>
  </si>
  <si>
    <t>Cash Flows by Individual Accounts</t>
  </si>
  <si>
    <t>Cost of Good Sold</t>
  </si>
  <si>
    <t>Inventories</t>
  </si>
  <si>
    <t>Accounts Payable</t>
  </si>
  <si>
    <t>Net Working Capital / (Deficit)</t>
  </si>
  <si>
    <t>(Increase) / Decrease in Net Working Capital</t>
  </si>
  <si>
    <t>Account Receivable</t>
  </si>
  <si>
    <t>Account Receivable (collection period in days)</t>
  </si>
  <si>
    <t>Inventories (days outstanding)</t>
  </si>
  <si>
    <t>Accounts Payable (days outstanding)</t>
  </si>
  <si>
    <t>Accrued Liabilities (as % of cost of sales)</t>
  </si>
  <si>
    <t>Assumptions</t>
  </si>
  <si>
    <t>COGS method choice</t>
  </si>
  <si>
    <t>Quarterly (years 1 and 2)</t>
  </si>
  <si>
    <t>Annual (years 3 to 6)</t>
  </si>
  <si>
    <t>Accounts Receivable</t>
  </si>
  <si>
    <t>Costs and Revenues (previously calculated)</t>
  </si>
  <si>
    <t>Inputs and Assumptions</t>
  </si>
  <si>
    <t>Total Liabilities</t>
  </si>
  <si>
    <t>Change in Net Working Capital</t>
  </si>
  <si>
    <t>Non-Cash Current Assets</t>
  </si>
  <si>
    <t>Non-Debt Current Liabilities</t>
  </si>
  <si>
    <t>Total</t>
  </si>
  <si>
    <t>Initial Startup costs</t>
  </si>
  <si>
    <t>Year 1</t>
  </si>
  <si>
    <t>Year 2</t>
  </si>
  <si>
    <t>Rate of returns</t>
  </si>
  <si>
    <t>Top-down COGS Estimate</t>
  </si>
  <si>
    <t>Bottom-up COGS Estimate</t>
  </si>
  <si>
    <t>First two years - Quarterly</t>
  </si>
  <si>
    <t>Full Forecast - Annual (6 years)</t>
  </si>
  <si>
    <t>Annual Projections</t>
  </si>
  <si>
    <t>Cash Flows</t>
  </si>
  <si>
    <t>For charting</t>
  </si>
  <si>
    <t>End date of period</t>
  </si>
  <si>
    <t xml:space="preserve"> </t>
  </si>
  <si>
    <t>Discounted Cash Flow Valuation (DCF)</t>
  </si>
  <si>
    <t>Discount Rate</t>
  </si>
  <si>
    <t>Free Cash Flow</t>
  </si>
  <si>
    <t>EBIT</t>
  </si>
  <si>
    <t>Other</t>
  </si>
  <si>
    <t>Depreciation/Amortisation</t>
  </si>
  <si>
    <t>Company Growth Rate</t>
  </si>
  <si>
    <t>Terminal Value</t>
  </si>
  <si>
    <t>Free Cash Flow and Terminal Value</t>
  </si>
  <si>
    <t>Valuation</t>
  </si>
  <si>
    <t>Net Present Value</t>
  </si>
  <si>
    <t>Market Size (prior to margin for retailers &amp; distributors)</t>
  </si>
  <si>
    <t>Assumption: Market Penetration by period</t>
  </si>
  <si>
    <t>Market Size (years 3 to 6)</t>
  </si>
  <si>
    <t>Market Size (years 1 and 2)</t>
  </si>
  <si>
    <t>Capital Expenditure - Impact on Income Statement (Depreciation &amp; Amortization)</t>
  </si>
  <si>
    <t>Capital Expenditure - Impact on Cash Flow</t>
  </si>
  <si>
    <t>Quarterly Cash Flow from CapEx (years 1 and 2)</t>
  </si>
  <si>
    <t>Annual Cash Flow from CapEx (years 3 to 6)</t>
  </si>
  <si>
    <t>Operting Expenses</t>
  </si>
  <si>
    <t>Year 6</t>
  </si>
  <si>
    <t>Third party margin</t>
  </si>
  <si>
    <t>List price (net of tax)</t>
  </si>
  <si>
    <t>Net price</t>
  </si>
  <si>
    <t>Overall market size</t>
  </si>
  <si>
    <t>Target market size</t>
  </si>
  <si>
    <t>Target segment share</t>
  </si>
  <si>
    <t>Assumption: Third Party Margins</t>
  </si>
  <si>
    <t>Third Party Margins (years 1 and 2)</t>
  </si>
  <si>
    <t>Third Party Margins (years 3 to 6)</t>
  </si>
  <si>
    <t>Depreciation and Amortization</t>
  </si>
  <si>
    <t>Fundamentals of Entrepreneurial Finance - Financial Projections Model</t>
  </si>
  <si>
    <t>Income Statement Projections</t>
  </si>
  <si>
    <t>Cash Flow Statement Projections</t>
  </si>
  <si>
    <t>Working Capital Projections</t>
  </si>
  <si>
    <t>Total Expenses Projections</t>
  </si>
  <si>
    <t>Capital Expenditure Projections</t>
  </si>
  <si>
    <t>Other Operating Expenses Projections</t>
  </si>
  <si>
    <t>Based on market comparables</t>
  </si>
  <si>
    <t>Note: On Working Capital tab, the preferred method can be selected from:</t>
  </si>
  <si>
    <t>Founders  (first year)</t>
  </si>
  <si>
    <t>Founders (2021 onwards)</t>
  </si>
  <si>
    <t>Engineers</t>
  </si>
  <si>
    <t>Sales</t>
  </si>
  <si>
    <t>Admin</t>
  </si>
  <si>
    <t>Finance</t>
  </si>
  <si>
    <t>Equity and Total Liabilities</t>
  </si>
  <si>
    <t>Total Cash Flow - Annual Forecast (6 years)</t>
  </si>
  <si>
    <t>Free Cash Flow (from Operations and Investing Before Financing) - Annual Forecast (6 years)</t>
  </si>
  <si>
    <t>Market 1</t>
  </si>
  <si>
    <t>Market 2</t>
  </si>
  <si>
    <t>Discount Factor</t>
  </si>
  <si>
    <t>Discounted FCF</t>
  </si>
  <si>
    <t>WorkHorse Inc.</t>
  </si>
  <si>
    <t>Wonderfoal</t>
  </si>
  <si>
    <t>NakotaStar</t>
  </si>
  <si>
    <t>Better power performance, superior design</t>
  </si>
  <si>
    <t>Gaining market share would take time</t>
  </si>
  <si>
    <t>Solar Panels</t>
  </si>
  <si>
    <t>Battery</t>
  </si>
  <si>
    <t>Circuitry and Hardware</t>
  </si>
  <si>
    <t>Assumed that investors will go along with this</t>
  </si>
  <si>
    <t>hiring costs and other benefits added here</t>
  </si>
  <si>
    <t>Accounting, Legal, etc.</t>
  </si>
  <si>
    <t>Rent of Office and laboratory</t>
  </si>
  <si>
    <t>Excluding Capex. Reliance on innovation, projected rapid increase in R&amp;D</t>
  </si>
  <si>
    <t>Training, Materials, Advertising</t>
  </si>
  <si>
    <t>Economy fair only</t>
  </si>
  <si>
    <t>Insurance, Office Supplies, etc.</t>
  </si>
  <si>
    <t>All other costs</t>
  </si>
  <si>
    <t>Assumption: Blended U.S. federal 21% + Michigan state (manufacturing place) ~4%</t>
  </si>
  <si>
    <t>Lab Tools</t>
  </si>
  <si>
    <t>Product Testing Unit</t>
  </si>
  <si>
    <t>Office Furniture</t>
  </si>
  <si>
    <t>Company Vehicle</t>
  </si>
  <si>
    <t>High Cap. Testing Unit</t>
  </si>
  <si>
    <t>Storage Racks</t>
  </si>
  <si>
    <t>New Lab Tools</t>
  </si>
  <si>
    <t>Empty</t>
  </si>
  <si>
    <t>Seed Round. For positive cash flow. From friends and family</t>
  </si>
  <si>
    <t>Series A. Cash burn on marketing activities</t>
  </si>
  <si>
    <t>Series B. Scale NokotaStar, Expand to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</si>
</sst>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[$-F800]dddd\,\ mmmm\ dd\,\ yyyy"/>
    <numFmt numFmtId="165" formatCode="_-* #,##0_-;\-* #,##0_-;_-* &quot;-&quot;??_-;_-@_-"/>
    <numFmt numFmtId="166" formatCode="0.0%"/>
    <numFmt numFmtId="167" formatCode="&quot;£&quot;#,##0"/>
    <numFmt numFmtId="168" formatCode="mmm\ yyyy"/>
    <numFmt numFmtId="169" formatCode="#,##0_);\(#,##0\);_-* &quot;-&quot;??_-;_-@_-"/>
    <numFmt numFmtId="170" formatCode="&quot;$&quot;#,##0.0_);\(&quot;$&quot;#,##0.0\)"/>
    <numFmt numFmtId="171" formatCode="0.00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3" tint="-0.499984740745262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AF1F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FFFFC9"/>
        <bgColor rgb="FF000000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 tint="-0.499984740745262"/>
      </bottom>
      <diagonal/>
    </border>
    <border>
      <left/>
      <right/>
      <top style="thick">
        <color theme="3" tint="-0.499984740745262"/>
      </top>
      <bottom/>
      <diagonal/>
    </border>
    <border>
      <left/>
      <right/>
      <top style="double">
        <color theme="3" tint="-0.499984740745262"/>
      </top>
      <bottom style="double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 style="thin">
        <color theme="3" tint="-0.499984740745262"/>
      </right>
      <top style="thin">
        <color theme="3" tint="-0.499984740745262"/>
      </top>
      <bottom/>
      <diagonal/>
    </border>
    <border>
      <left/>
      <right/>
      <top/>
      <bottom style="thin">
        <color theme="3" tint="-0.499984740745262"/>
      </bottom>
      <diagonal/>
    </border>
    <border>
      <left/>
      <right style="thick">
        <color theme="3" tint="-0.499984740745262"/>
      </right>
      <top style="thin">
        <color theme="3" tint="-0.499984740745262"/>
      </top>
      <bottom/>
      <diagonal/>
    </border>
    <border>
      <left/>
      <right style="thick">
        <color theme="3" tint="-0.499984740745262"/>
      </right>
      <top/>
      <bottom/>
      <diagonal/>
    </border>
    <border>
      <left/>
      <right style="thick">
        <color theme="3" tint="-0.499984740745262"/>
      </right>
      <top/>
      <bottom style="thick">
        <color theme="3" tint="-0.499984740745262"/>
      </bottom>
      <diagonal/>
    </border>
    <border>
      <left style="thick">
        <color theme="3" tint="-0.499984740745262"/>
      </left>
      <right style="thick">
        <color theme="3" tint="-0.499984740745262"/>
      </right>
      <top/>
      <bottom style="thick">
        <color theme="3" tint="-0.499984740745262"/>
      </bottom>
      <diagonal/>
    </border>
    <border>
      <left style="thick">
        <color theme="3" tint="-0.499984740745262"/>
      </left>
      <right/>
      <top/>
      <bottom style="thin">
        <color theme="3" tint="-0.499984740745262"/>
      </bottom>
      <diagonal/>
    </border>
    <border>
      <left/>
      <right style="thick">
        <color theme="3" tint="-0.499984740745262"/>
      </right>
      <top/>
      <bottom style="thin">
        <color theme="3" tint="-0.499984740745262"/>
      </bottom>
      <diagonal/>
    </border>
    <border>
      <left style="thick">
        <color theme="3" tint="-0.499984740745262"/>
      </left>
      <right/>
      <top style="thin">
        <color theme="3" tint="-0.499984740745262"/>
      </top>
      <bottom/>
      <diagonal/>
    </border>
    <border>
      <left style="thick">
        <color theme="3" tint="-0.499984740745262"/>
      </left>
      <right/>
      <top/>
      <bottom/>
      <diagonal/>
    </border>
    <border>
      <left style="thick">
        <color theme="3" tint="-0.499984740745262"/>
      </left>
      <right/>
      <top/>
      <bottom style="thick">
        <color theme="3" tint="-0.499984740745262"/>
      </bottom>
      <diagonal/>
    </border>
    <border>
      <left style="thick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ck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ck">
        <color theme="3" tint="-0.499984740745262"/>
      </right>
      <top/>
      <bottom/>
      <diagonal/>
    </border>
    <border>
      <left style="thick">
        <color theme="3" tint="-0.499984740745262"/>
      </left>
      <right style="thick">
        <color theme="3" tint="-0.499984740745262"/>
      </right>
      <top/>
      <bottom/>
      <diagonal/>
    </border>
    <border>
      <left style="thick">
        <color theme="3" tint="-0.499984740745262"/>
      </left>
      <right style="thick">
        <color theme="3" tint="-0.499984740745262"/>
      </right>
      <top style="thick">
        <color theme="3" tint="-0.499984740745262"/>
      </top>
      <bottom/>
      <diagonal/>
    </border>
    <border>
      <left style="thick">
        <color theme="3" tint="-0.499984740745262"/>
      </left>
      <right/>
      <top style="thick">
        <color theme="3" tint="-0.499984740745262"/>
      </top>
      <bottom/>
      <diagonal/>
    </border>
    <border>
      <left/>
      <right style="thick">
        <color theme="3" tint="-0.499984740745262"/>
      </right>
      <top style="thick">
        <color theme="3" tint="-0.499984740745262"/>
      </top>
      <bottom/>
      <diagonal/>
    </border>
    <border>
      <left style="thick">
        <color theme="3" tint="-0.499984740745262"/>
      </left>
      <right/>
      <top/>
      <bottom style="thick">
        <color theme="3" tint="-0.24994659260841701"/>
      </bottom>
      <diagonal/>
    </border>
    <border>
      <left/>
      <right style="thick">
        <color theme="3" tint="-0.499984740745262"/>
      </right>
      <top/>
      <bottom style="thick">
        <color theme="3" tint="-0.24994659260841701"/>
      </bottom>
      <diagonal/>
    </border>
    <border>
      <left style="thick">
        <color theme="3" tint="-0.24994659260841701"/>
      </left>
      <right/>
      <top/>
      <bottom style="thin">
        <color theme="3" tint="-0.499984740745262"/>
      </bottom>
      <diagonal/>
    </border>
    <border>
      <left/>
      <right style="thick">
        <color theme="3" tint="-0.24994659260841701"/>
      </right>
      <top/>
      <bottom style="thin">
        <color theme="3" tint="-0.499984740745262"/>
      </bottom>
      <diagonal/>
    </border>
    <border>
      <left style="thick">
        <color theme="3" tint="-0.24994659260841701"/>
      </left>
      <right/>
      <top style="thin">
        <color theme="3" tint="-0.499984740745262"/>
      </top>
      <bottom/>
      <diagonal/>
    </border>
    <border>
      <left/>
      <right style="thick">
        <color theme="3" tint="-0.24994659260841701"/>
      </right>
      <top style="thin">
        <color theme="3" tint="-0.499984740745262"/>
      </top>
      <bottom/>
      <diagonal/>
    </border>
    <border>
      <left style="thick">
        <color theme="3" tint="-0.24994659260841701"/>
      </left>
      <right/>
      <top/>
      <bottom/>
      <diagonal/>
    </border>
    <border>
      <left/>
      <right style="thick">
        <color theme="3" tint="-0.24994659260841701"/>
      </right>
      <top/>
      <bottom/>
      <diagonal/>
    </border>
    <border>
      <left style="thick">
        <color theme="3" tint="-0.24994659260841701"/>
      </left>
      <right/>
      <top/>
      <bottom style="thick">
        <color theme="3" tint="-0.24994659260841701"/>
      </bottom>
      <diagonal/>
    </border>
    <border>
      <left/>
      <right style="thick">
        <color theme="3" tint="-0.24994659260841701"/>
      </right>
      <top/>
      <bottom style="thick">
        <color theme="3" tint="-0.24994659260841701"/>
      </bottom>
      <diagonal/>
    </border>
    <border>
      <left style="thick">
        <color theme="3" tint="-0.24994659260841701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ck">
        <color theme="3" tint="-0.24994659260841701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ck">
        <color theme="3" tint="-0.24994659260841701"/>
      </right>
      <top/>
      <bottom/>
      <diagonal/>
    </border>
    <border>
      <left style="thick">
        <color theme="3" tint="-0.24994659260841701"/>
      </left>
      <right/>
      <top style="thick">
        <color theme="3" tint="-0.24994659260841701"/>
      </top>
      <bottom/>
      <diagonal/>
    </border>
    <border>
      <left/>
      <right/>
      <top style="thick">
        <color theme="3" tint="-0.24994659260841701"/>
      </top>
      <bottom/>
      <diagonal/>
    </border>
    <border>
      <left/>
      <right style="thick">
        <color theme="3" tint="-0.24994659260841701"/>
      </right>
      <top style="thick">
        <color theme="3" tint="-0.24994659260841701"/>
      </top>
      <bottom/>
      <diagonal/>
    </border>
    <border>
      <left style="thick">
        <color theme="3" tint="-0.499984740745262"/>
      </left>
      <right/>
      <top style="double">
        <color theme="3" tint="-0.499984740745262"/>
      </top>
      <bottom style="double">
        <color theme="3" tint="-0.499984740745262"/>
      </bottom>
      <diagonal/>
    </border>
    <border>
      <left/>
      <right style="thick">
        <color theme="3" tint="-0.499984740745262"/>
      </right>
      <top style="double">
        <color theme="3" tint="-0.499984740745262"/>
      </top>
      <bottom style="double">
        <color theme="3" tint="-0.499984740745262"/>
      </bottom>
      <diagonal/>
    </border>
    <border>
      <left style="thin">
        <color theme="3" tint="-0.499984740745262"/>
      </left>
      <right style="thick">
        <color theme="3" tint="-0.499984740745262"/>
      </right>
      <top/>
      <bottom style="thick">
        <color theme="3" tint="-0.499984740745262"/>
      </bottom>
      <diagonal/>
    </border>
    <border>
      <left style="thick">
        <color theme="3" tint="-0.499984740745262"/>
      </left>
      <right/>
      <top style="thick">
        <color theme="3" tint="-0.499984740745262"/>
      </top>
      <bottom style="thick">
        <color theme="3" tint="-0.499984740745262"/>
      </bottom>
      <diagonal/>
    </border>
    <border>
      <left/>
      <right/>
      <top style="thick">
        <color theme="3" tint="-0.499984740745262"/>
      </top>
      <bottom style="thick">
        <color theme="3" tint="-0.499984740745262"/>
      </bottom>
      <diagonal/>
    </border>
    <border>
      <left/>
      <right style="thick">
        <color theme="3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 style="thin">
        <color theme="3" tint="-0.499984740745262"/>
      </left>
      <right style="thick">
        <color theme="3" tint="-0.499984740745262"/>
      </right>
      <top style="thin">
        <color theme="3" tint="-0.499984740745262"/>
      </top>
      <bottom/>
      <diagonal/>
    </border>
    <border>
      <left style="thick">
        <color theme="3" tint="-0.499984740745262"/>
      </left>
      <right style="thick">
        <color theme="3" tint="-0.499984740745262"/>
      </right>
      <top style="thick">
        <color theme="3" tint="-0.499984740745262"/>
      </top>
      <bottom style="thick">
        <color theme="3" tint="-0.499984740745262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rgb="FF0F243E"/>
      </left>
      <right/>
      <top/>
      <bottom/>
      <diagonal/>
    </border>
    <border>
      <left/>
      <right style="thick">
        <color rgb="FF0F243E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 applyNumberFormat="0" applyFill="0" applyAlignment="0" applyProtection="0"/>
  </cellStyleXfs>
  <cellXfs count="34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0" fontId="6" fillId="4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0" fillId="4" borderId="0" xfId="0" applyFill="1"/>
    <xf numFmtId="0" fontId="0" fillId="4" borderId="5" xfId="0" applyFill="1" applyBorder="1"/>
    <xf numFmtId="0" fontId="0" fillId="4" borderId="4" xfId="0" applyFill="1" applyBorder="1" applyAlignment="1">
      <alignment horizontal="center"/>
    </xf>
    <xf numFmtId="0" fontId="0" fillId="4" borderId="4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6" fillId="3" borderId="4" xfId="0" applyFont="1" applyFill="1" applyBorder="1"/>
    <xf numFmtId="166" fontId="0" fillId="0" borderId="0" xfId="2" applyNumberFormat="1" applyFont="1" applyBorder="1"/>
    <xf numFmtId="0" fontId="3" fillId="0" borderId="0" xfId="0" applyFont="1"/>
    <xf numFmtId="167" fontId="0" fillId="0" borderId="0" xfId="0" applyNumberFormat="1"/>
    <xf numFmtId="0" fontId="0" fillId="0" borderId="0" xfId="1" applyNumberFormat="1" applyFont="1"/>
    <xf numFmtId="0" fontId="0" fillId="0" borderId="0" xfId="2" applyNumberFormat="1" applyFont="1" applyBorder="1"/>
    <xf numFmtId="0" fontId="0" fillId="0" borderId="0" xfId="2" applyNumberFormat="1" applyFont="1" applyFill="1" applyBorder="1"/>
    <xf numFmtId="0" fontId="7" fillId="0" borderId="0" xfId="0" applyFont="1"/>
    <xf numFmtId="0" fontId="8" fillId="0" borderId="0" xfId="3"/>
    <xf numFmtId="0" fontId="10" fillId="6" borderId="9" xfId="0" applyFont="1" applyFill="1" applyBorder="1"/>
    <xf numFmtId="0" fontId="9" fillId="6" borderId="9" xfId="0" applyFont="1" applyFill="1" applyBorder="1"/>
    <xf numFmtId="166" fontId="8" fillId="0" borderId="0" xfId="3" applyNumberFormat="1"/>
    <xf numFmtId="166" fontId="0" fillId="0" borderId="0" xfId="0" applyNumberFormat="1"/>
    <xf numFmtId="166" fontId="0" fillId="0" borderId="9" xfId="0" applyNumberFormat="1" applyBorder="1"/>
    <xf numFmtId="0" fontId="11" fillId="0" borderId="0" xfId="0" applyFont="1"/>
    <xf numFmtId="0" fontId="12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165" fontId="0" fillId="0" borderId="0" xfId="1" applyNumberFormat="1" applyFont="1" applyBorder="1"/>
    <xf numFmtId="165" fontId="0" fillId="0" borderId="9" xfId="1" applyNumberFormat="1" applyFont="1" applyBorder="1"/>
    <xf numFmtId="165" fontId="11" fillId="0" borderId="0" xfId="1" applyNumberFormat="1" applyFont="1" applyFill="1" applyBorder="1"/>
    <xf numFmtId="0" fontId="14" fillId="0" borderId="0" xfId="2" applyNumberFormat="1" applyFont="1" applyBorder="1" applyAlignment="1">
      <alignment horizontal="left"/>
    </xf>
    <xf numFmtId="0" fontId="0" fillId="3" borderId="7" xfId="0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0" fillId="3" borderId="8" xfId="0" applyFill="1" applyBorder="1" applyAlignment="1">
      <alignment horizontal="left"/>
    </xf>
    <xf numFmtId="0" fontId="9" fillId="5" borderId="0" xfId="0" applyFont="1" applyFill="1" applyAlignment="1">
      <alignment horizontal="center" vertical="center" wrapText="1"/>
    </xf>
    <xf numFmtId="168" fontId="9" fillId="5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 applyBorder="1"/>
    <xf numFmtId="0" fontId="15" fillId="0" borderId="0" xfId="2" applyNumberFormat="1" applyFont="1" applyBorder="1" applyAlignment="1">
      <alignment horizontal="left"/>
    </xf>
    <xf numFmtId="0" fontId="0" fillId="0" borderId="16" xfId="0" applyBorder="1"/>
    <xf numFmtId="166" fontId="12" fillId="0" borderId="13" xfId="2" applyNumberFormat="1" applyFont="1" applyFill="1" applyBorder="1" applyAlignment="1">
      <alignment horizontal="center"/>
    </xf>
    <xf numFmtId="0" fontId="3" fillId="0" borderId="11" xfId="0" applyFont="1" applyBorder="1"/>
    <xf numFmtId="0" fontId="3" fillId="0" borderId="4" xfId="0" applyFont="1" applyBorder="1"/>
    <xf numFmtId="0" fontId="9" fillId="8" borderId="0" xfId="0" applyFont="1" applyFill="1" applyAlignment="1">
      <alignment horizontal="center" vertical="center" wrapText="1"/>
    </xf>
    <xf numFmtId="168" fontId="9" fillId="8" borderId="0" xfId="0" applyNumberFormat="1" applyFont="1" applyFill="1" applyAlignment="1">
      <alignment horizontal="center"/>
    </xf>
    <xf numFmtId="165" fontId="3" fillId="0" borderId="2" xfId="1" applyNumberFormat="1" applyFont="1" applyBorder="1"/>
    <xf numFmtId="165" fontId="3" fillId="0" borderId="0" xfId="1" applyNumberFormat="1" applyFont="1" applyBorder="1"/>
    <xf numFmtId="166" fontId="12" fillId="0" borderId="13" xfId="2" applyNumberFormat="1" applyFont="1" applyFill="1" applyBorder="1" applyAlignment="1">
      <alignment horizontal="center" vertical="center" wrapText="1"/>
    </xf>
    <xf numFmtId="166" fontId="12" fillId="0" borderId="16" xfId="2" applyNumberFormat="1" applyFont="1" applyFill="1" applyBorder="1" applyAlignment="1">
      <alignment horizontal="center" vertical="center" wrapText="1"/>
    </xf>
    <xf numFmtId="166" fontId="0" fillId="0" borderId="17" xfId="0" applyNumberFormat="1" applyBorder="1"/>
    <xf numFmtId="166" fontId="12" fillId="0" borderId="13" xfId="2" applyNumberFormat="1" applyFont="1" applyFill="1" applyBorder="1" applyAlignment="1">
      <alignment horizontal="center" wrapText="1"/>
    </xf>
    <xf numFmtId="166" fontId="12" fillId="0" borderId="13" xfId="2" applyNumberFormat="1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37" fontId="0" fillId="0" borderId="0" xfId="1" applyNumberFormat="1" applyFont="1" applyBorder="1"/>
    <xf numFmtId="37" fontId="0" fillId="0" borderId="17" xfId="1" applyNumberFormat="1" applyFont="1" applyBorder="1"/>
    <xf numFmtId="166" fontId="3" fillId="0" borderId="0" xfId="0" applyNumberFormat="1" applyFont="1"/>
    <xf numFmtId="0" fontId="11" fillId="0" borderId="18" xfId="0" applyFont="1" applyBorder="1"/>
    <xf numFmtId="165" fontId="11" fillId="0" borderId="18" xfId="1" applyNumberFormat="1" applyFont="1" applyFill="1" applyBorder="1"/>
    <xf numFmtId="169" fontId="0" fillId="0" borderId="0" xfId="1" applyNumberFormat="1" applyFont="1" applyBorder="1"/>
    <xf numFmtId="166" fontId="3" fillId="0" borderId="18" xfId="0" applyNumberFormat="1" applyFont="1" applyBorder="1"/>
    <xf numFmtId="169" fontId="3" fillId="0" borderId="18" xfId="1" applyNumberFormat="1" applyFont="1" applyBorder="1"/>
    <xf numFmtId="166" fontId="0" fillId="0" borderId="19" xfId="0" applyNumberFormat="1" applyBorder="1"/>
    <xf numFmtId="37" fontId="0" fillId="0" borderId="19" xfId="1" applyNumberFormat="1" applyFont="1" applyBorder="1"/>
    <xf numFmtId="0" fontId="16" fillId="0" borderId="0" xfId="0" applyFont="1"/>
    <xf numFmtId="37" fontId="16" fillId="0" borderId="0" xfId="1" applyNumberFormat="1" applyFont="1" applyBorder="1"/>
    <xf numFmtId="165" fontId="0" fillId="0" borderId="16" xfId="1" applyNumberFormat="1" applyFont="1" applyBorder="1"/>
    <xf numFmtId="0" fontId="0" fillId="0" borderId="0" xfId="0" applyAlignment="1">
      <alignment horizontal="left" indent="1"/>
    </xf>
    <xf numFmtId="166" fontId="0" fillId="0" borderId="0" xfId="0" applyNumberFormat="1" applyAlignment="1">
      <alignment horizontal="left" indent="1"/>
    </xf>
    <xf numFmtId="166" fontId="0" fillId="0" borderId="17" xfId="0" applyNumberFormat="1" applyBorder="1" applyAlignment="1">
      <alignment horizontal="left" indent="1"/>
    </xf>
    <xf numFmtId="0" fontId="17" fillId="0" borderId="0" xfId="0" applyFont="1"/>
    <xf numFmtId="165" fontId="0" fillId="0" borderId="0" xfId="1" applyNumberFormat="1" applyFont="1" applyFill="1" applyBorder="1"/>
    <xf numFmtId="165" fontId="0" fillId="0" borderId="17" xfId="1" applyNumberFormat="1" applyFont="1" applyFill="1" applyBorder="1"/>
    <xf numFmtId="168" fontId="9" fillId="5" borderId="26" xfId="0" applyNumberFormat="1" applyFont="1" applyFill="1" applyBorder="1" applyAlignment="1">
      <alignment horizontal="center"/>
    </xf>
    <xf numFmtId="165" fontId="0" fillId="0" borderId="26" xfId="1" applyNumberFormat="1" applyFont="1" applyFill="1" applyBorder="1"/>
    <xf numFmtId="165" fontId="0" fillId="0" borderId="27" xfId="1" applyNumberFormat="1" applyFont="1" applyFill="1" applyBorder="1"/>
    <xf numFmtId="165" fontId="11" fillId="0" borderId="26" xfId="1" applyNumberFormat="1" applyFont="1" applyFill="1" applyBorder="1"/>
    <xf numFmtId="168" fontId="9" fillId="5" borderId="32" xfId="0" applyNumberFormat="1" applyFont="1" applyFill="1" applyBorder="1" applyAlignment="1">
      <alignment horizontal="center"/>
    </xf>
    <xf numFmtId="165" fontId="0" fillId="0" borderId="32" xfId="1" applyNumberFormat="1" applyFont="1" applyFill="1" applyBorder="1"/>
    <xf numFmtId="165" fontId="0" fillId="0" borderId="33" xfId="1" applyNumberFormat="1" applyFont="1" applyFill="1" applyBorder="1"/>
    <xf numFmtId="168" fontId="9" fillId="5" borderId="36" xfId="0" applyNumberFormat="1" applyFont="1" applyFill="1" applyBorder="1" applyAlignment="1">
      <alignment horizontal="center"/>
    </xf>
    <xf numFmtId="0" fontId="18" fillId="9" borderId="34" xfId="0" applyFont="1" applyFill="1" applyBorder="1" applyAlignment="1">
      <alignment horizontal="center"/>
    </xf>
    <xf numFmtId="0" fontId="18" fillId="9" borderId="20" xfId="0" applyFont="1" applyFill="1" applyBorder="1" applyAlignment="1">
      <alignment horizontal="center"/>
    </xf>
    <xf numFmtId="0" fontId="18" fillId="9" borderId="35" xfId="0" applyFont="1" applyFill="1" applyBorder="1" applyAlignment="1">
      <alignment horizontal="center"/>
    </xf>
    <xf numFmtId="166" fontId="0" fillId="11" borderId="0" xfId="2" applyNumberFormat="1" applyFont="1" applyFill="1" applyBorder="1"/>
    <xf numFmtId="165" fontId="0" fillId="11" borderId="4" xfId="1" applyNumberFormat="1" applyFont="1" applyFill="1" applyBorder="1"/>
    <xf numFmtId="0" fontId="0" fillId="11" borderId="4" xfId="1" applyNumberFormat="1" applyFont="1" applyFill="1" applyBorder="1" applyAlignment="1">
      <alignment horizontal="center"/>
    </xf>
    <xf numFmtId="166" fontId="12" fillId="11" borderId="13" xfId="2" applyNumberFormat="1" applyFont="1" applyFill="1" applyBorder="1" applyAlignment="1">
      <alignment horizontal="center"/>
    </xf>
    <xf numFmtId="166" fontId="12" fillId="12" borderId="13" xfId="2" applyNumberFormat="1" applyFont="1" applyFill="1" applyBorder="1" applyAlignment="1">
      <alignment horizontal="center"/>
    </xf>
    <xf numFmtId="165" fontId="0" fillId="12" borderId="4" xfId="1" applyNumberFormat="1" applyFont="1" applyFill="1" applyBorder="1"/>
    <xf numFmtId="0" fontId="0" fillId="12" borderId="4" xfId="1" applyNumberFormat="1" applyFont="1" applyFill="1" applyBorder="1" applyAlignment="1">
      <alignment horizontal="center"/>
    </xf>
    <xf numFmtId="166" fontId="0" fillId="12" borderId="0" xfId="2" applyNumberFormat="1" applyFont="1" applyFill="1" applyBorder="1"/>
    <xf numFmtId="0" fontId="0" fillId="12" borderId="0" xfId="0" applyFill="1"/>
    <xf numFmtId="0" fontId="0" fillId="11" borderId="0" xfId="0" applyFill="1"/>
    <xf numFmtId="164" fontId="5" fillId="11" borderId="0" xfId="0" applyNumberFormat="1" applyFont="1" applyFill="1" applyAlignment="1">
      <alignment horizontal="center"/>
    </xf>
    <xf numFmtId="165" fontId="0" fillId="12" borderId="1" xfId="1" applyNumberFormat="1" applyFont="1" applyFill="1" applyBorder="1"/>
    <xf numFmtId="166" fontId="0" fillId="11" borderId="6" xfId="2" applyNumberFormat="1" applyFont="1" applyFill="1" applyBorder="1"/>
    <xf numFmtId="166" fontId="0" fillId="12" borderId="6" xfId="2" applyNumberFormat="1" applyFont="1" applyFill="1" applyBorder="1"/>
    <xf numFmtId="166" fontId="0" fillId="11" borderId="32" xfId="2" applyNumberFormat="1" applyFont="1" applyFill="1" applyBorder="1"/>
    <xf numFmtId="166" fontId="0" fillId="11" borderId="26" xfId="2" applyNumberFormat="1" applyFont="1" applyFill="1" applyBorder="1"/>
    <xf numFmtId="166" fontId="0" fillId="12" borderId="32" xfId="2" applyNumberFormat="1" applyFont="1" applyFill="1" applyBorder="1"/>
    <xf numFmtId="166" fontId="0" fillId="12" borderId="26" xfId="2" applyNumberFormat="1" applyFont="1" applyFill="1" applyBorder="1"/>
    <xf numFmtId="165" fontId="11" fillId="0" borderId="39" xfId="1" applyNumberFormat="1" applyFont="1" applyFill="1" applyBorder="1"/>
    <xf numFmtId="165" fontId="11" fillId="0" borderId="40" xfId="1" applyNumberFormat="1" applyFont="1" applyFill="1" applyBorder="1"/>
    <xf numFmtId="165" fontId="0" fillId="11" borderId="32" xfId="2" applyNumberFormat="1" applyFont="1" applyFill="1" applyBorder="1"/>
    <xf numFmtId="165" fontId="0" fillId="11" borderId="0" xfId="2" applyNumberFormat="1" applyFont="1" applyFill="1" applyBorder="1"/>
    <xf numFmtId="165" fontId="0" fillId="11" borderId="26" xfId="2" applyNumberFormat="1" applyFont="1" applyFill="1" applyBorder="1"/>
    <xf numFmtId="165" fontId="0" fillId="12" borderId="32" xfId="2" applyNumberFormat="1" applyFont="1" applyFill="1" applyBorder="1"/>
    <xf numFmtId="165" fontId="0" fillId="12" borderId="0" xfId="2" applyNumberFormat="1" applyFont="1" applyFill="1" applyBorder="1"/>
    <xf numFmtId="165" fontId="0" fillId="12" borderId="26" xfId="2" applyNumberFormat="1" applyFont="1" applyFill="1" applyBorder="1"/>
    <xf numFmtId="165" fontId="0" fillId="12" borderId="0" xfId="1" applyNumberFormat="1" applyFont="1" applyFill="1" applyBorder="1"/>
    <xf numFmtId="165" fontId="0" fillId="11" borderId="2" xfId="1" applyNumberFormat="1" applyFont="1" applyFill="1" applyBorder="1"/>
    <xf numFmtId="165" fontId="0" fillId="12" borderId="7" xfId="1" applyNumberFormat="1" applyFont="1" applyFill="1" applyBorder="1"/>
    <xf numFmtId="165" fontId="0" fillId="0" borderId="32" xfId="1" applyNumberFormat="1" applyFont="1" applyBorder="1"/>
    <xf numFmtId="165" fontId="0" fillId="0" borderId="26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9" fontId="0" fillId="11" borderId="0" xfId="2" applyFont="1" applyFill="1" applyBorder="1"/>
    <xf numFmtId="9" fontId="0" fillId="12" borderId="0" xfId="2" applyFont="1" applyFill="1" applyBorder="1"/>
    <xf numFmtId="165" fontId="11" fillId="0" borderId="32" xfId="1" applyNumberFormat="1" applyFont="1" applyFill="1" applyBorder="1"/>
    <xf numFmtId="0" fontId="0" fillId="0" borderId="33" xfId="0" applyBorder="1"/>
    <xf numFmtId="0" fontId="0" fillId="0" borderId="17" xfId="0" applyBorder="1"/>
    <xf numFmtId="0" fontId="0" fillId="0" borderId="27" xfId="0" applyBorder="1"/>
    <xf numFmtId="165" fontId="0" fillId="12" borderId="17" xfId="1" applyNumberFormat="1" applyFont="1" applyFill="1" applyBorder="1"/>
    <xf numFmtId="165" fontId="0" fillId="12" borderId="32" xfId="1" applyNumberFormat="1" applyFont="1" applyFill="1" applyBorder="1"/>
    <xf numFmtId="165" fontId="0" fillId="12" borderId="26" xfId="1" applyNumberFormat="1" applyFont="1" applyFill="1" applyBorder="1"/>
    <xf numFmtId="165" fontId="0" fillId="12" borderId="33" xfId="1" applyNumberFormat="1" applyFont="1" applyFill="1" applyBorder="1"/>
    <xf numFmtId="165" fontId="0" fillId="12" borderId="27" xfId="1" applyNumberFormat="1" applyFont="1" applyFill="1" applyBorder="1"/>
    <xf numFmtId="165" fontId="0" fillId="0" borderId="33" xfId="1" applyNumberFormat="1" applyFont="1" applyBorder="1"/>
    <xf numFmtId="165" fontId="0" fillId="0" borderId="17" xfId="1" applyNumberFormat="1" applyFont="1" applyBorder="1"/>
    <xf numFmtId="165" fontId="0" fillId="0" borderId="27" xfId="1" applyNumberFormat="1" applyFont="1" applyBorder="1"/>
    <xf numFmtId="0" fontId="0" fillId="0" borderId="1" xfId="1" applyNumberFormat="1" applyFont="1" applyFill="1" applyBorder="1" applyAlignment="1">
      <alignment horizontal="center"/>
    </xf>
    <xf numFmtId="43" fontId="0" fillId="12" borderId="4" xfId="1" applyFont="1" applyFill="1" applyBorder="1"/>
    <xf numFmtId="43" fontId="0" fillId="12" borderId="4" xfId="1" applyFont="1" applyFill="1" applyBorder="1" applyAlignment="1">
      <alignment horizontal="center"/>
    </xf>
    <xf numFmtId="43" fontId="0" fillId="12" borderId="6" xfId="1" applyFont="1" applyFill="1" applyBorder="1"/>
    <xf numFmtId="10" fontId="0" fillId="12" borderId="13" xfId="2" applyNumberFormat="1" applyFont="1" applyFill="1" applyBorder="1" applyAlignment="1">
      <alignment horizontal="center"/>
    </xf>
    <xf numFmtId="9" fontId="0" fillId="12" borderId="13" xfId="2" applyFont="1" applyFill="1" applyBorder="1" applyAlignment="1">
      <alignment horizontal="center"/>
    </xf>
    <xf numFmtId="166" fontId="12" fillId="12" borderId="13" xfId="2" applyNumberFormat="1" applyFont="1" applyFill="1" applyBorder="1" applyAlignment="1">
      <alignment horizontal="center" vertical="center" wrapText="1"/>
    </xf>
    <xf numFmtId="165" fontId="0" fillId="12" borderId="6" xfId="1" applyNumberFormat="1" applyFont="1" applyFill="1" applyBorder="1"/>
    <xf numFmtId="165" fontId="0" fillId="12" borderId="9" xfId="1" applyNumberFormat="1" applyFont="1" applyFill="1" applyBorder="1"/>
    <xf numFmtId="168" fontId="9" fillId="8" borderId="32" xfId="0" applyNumberFormat="1" applyFont="1" applyFill="1" applyBorder="1" applyAlignment="1">
      <alignment horizontal="center"/>
    </xf>
    <xf numFmtId="168" fontId="9" fillId="8" borderId="36" xfId="0" applyNumberFormat="1" applyFont="1" applyFill="1" applyBorder="1" applyAlignment="1">
      <alignment horizontal="center"/>
    </xf>
    <xf numFmtId="0" fontId="7" fillId="8" borderId="0" xfId="0" applyFont="1" applyFill="1"/>
    <xf numFmtId="168" fontId="9" fillId="8" borderId="26" xfId="0" applyNumberFormat="1" applyFont="1" applyFill="1" applyBorder="1" applyAlignment="1">
      <alignment horizontal="center"/>
    </xf>
    <xf numFmtId="165" fontId="0" fillId="12" borderId="41" xfId="1" applyNumberFormat="1" applyFont="1" applyFill="1" applyBorder="1"/>
    <xf numFmtId="165" fontId="0" fillId="12" borderId="42" xfId="1" applyNumberFormat="1" applyFont="1" applyFill="1" applyBorder="1"/>
    <xf numFmtId="168" fontId="9" fillId="5" borderId="47" xfId="0" applyNumberFormat="1" applyFont="1" applyFill="1" applyBorder="1" applyAlignment="1">
      <alignment horizontal="center"/>
    </xf>
    <xf numFmtId="168" fontId="9" fillId="5" borderId="48" xfId="0" applyNumberFormat="1" applyFont="1" applyFill="1" applyBorder="1" applyAlignment="1">
      <alignment horizontal="center"/>
    </xf>
    <xf numFmtId="165" fontId="0" fillId="0" borderId="47" xfId="1" applyNumberFormat="1" applyFont="1" applyBorder="1"/>
    <xf numFmtId="165" fontId="0" fillId="0" borderId="48" xfId="1" applyNumberFormat="1" applyFont="1" applyBorder="1"/>
    <xf numFmtId="165" fontId="0" fillId="0" borderId="49" xfId="1" applyNumberFormat="1" applyFont="1" applyBorder="1"/>
    <xf numFmtId="165" fontId="0" fillId="0" borderId="50" xfId="1" applyNumberFormat="1" applyFont="1" applyBorder="1"/>
    <xf numFmtId="0" fontId="18" fillId="9" borderId="51" xfId="0" applyFont="1" applyFill="1" applyBorder="1" applyAlignment="1">
      <alignment horizontal="center"/>
    </xf>
    <xf numFmtId="0" fontId="18" fillId="9" borderId="52" xfId="0" applyFont="1" applyFill="1" applyBorder="1" applyAlignment="1">
      <alignment horizontal="center"/>
    </xf>
    <xf numFmtId="168" fontId="9" fillId="5" borderId="53" xfId="0" applyNumberFormat="1" applyFont="1" applyFill="1" applyBorder="1" applyAlignment="1">
      <alignment horizontal="center"/>
    </xf>
    <xf numFmtId="165" fontId="11" fillId="0" borderId="54" xfId="1" applyNumberFormat="1" applyFont="1" applyFill="1" applyBorder="1"/>
    <xf numFmtId="165" fontId="11" fillId="0" borderId="55" xfId="1" applyNumberFormat="1" applyFont="1" applyFill="1" applyBorder="1"/>
    <xf numFmtId="165" fontId="11" fillId="0" borderId="56" xfId="1" applyNumberFormat="1" applyFont="1" applyFill="1" applyBorder="1"/>
    <xf numFmtId="169" fontId="0" fillId="0" borderId="32" xfId="1" applyNumberFormat="1" applyFont="1" applyBorder="1"/>
    <xf numFmtId="169" fontId="0" fillId="0" borderId="26" xfId="1" applyNumberFormat="1" applyFont="1" applyBorder="1"/>
    <xf numFmtId="0" fontId="0" fillId="12" borderId="10" xfId="0" applyFill="1" applyBorder="1"/>
    <xf numFmtId="168" fontId="0" fillId="12" borderId="4" xfId="2" applyNumberFormat="1" applyFont="1" applyFill="1" applyBorder="1" applyAlignment="1">
      <alignment horizontal="center"/>
    </xf>
    <xf numFmtId="0" fontId="0" fillId="12" borderId="4" xfId="2" applyNumberFormat="1" applyFont="1" applyFill="1" applyBorder="1" applyAlignment="1">
      <alignment horizontal="center"/>
    </xf>
    <xf numFmtId="165" fontId="0" fillId="12" borderId="11" xfId="1" applyNumberFormat="1" applyFont="1" applyFill="1" applyBorder="1"/>
    <xf numFmtId="0" fontId="0" fillId="12" borderId="11" xfId="0" applyFill="1" applyBorder="1"/>
    <xf numFmtId="0" fontId="0" fillId="12" borderId="12" xfId="0" applyFill="1" applyBorder="1"/>
    <xf numFmtId="168" fontId="0" fillId="12" borderId="6" xfId="2" applyNumberFormat="1" applyFont="1" applyFill="1" applyBorder="1" applyAlignment="1">
      <alignment horizontal="center"/>
    </xf>
    <xf numFmtId="0" fontId="0" fillId="12" borderId="6" xfId="2" applyNumberFormat="1" applyFont="1" applyFill="1" applyBorder="1" applyAlignment="1">
      <alignment horizontal="center"/>
    </xf>
    <xf numFmtId="165" fontId="0" fillId="12" borderId="12" xfId="1" applyNumberFormat="1" applyFont="1" applyFill="1" applyBorder="1"/>
    <xf numFmtId="9" fontId="0" fillId="12" borderId="1" xfId="2" applyFont="1" applyFill="1" applyBorder="1"/>
    <xf numFmtId="9" fontId="0" fillId="12" borderId="4" xfId="2" applyFont="1" applyFill="1" applyBorder="1"/>
    <xf numFmtId="165" fontId="0" fillId="12" borderId="6" xfId="1" applyNumberFormat="1" applyFont="1" applyFill="1" applyBorder="1" applyAlignment="1">
      <alignment horizontal="center"/>
    </xf>
    <xf numFmtId="9" fontId="0" fillId="12" borderId="6" xfId="2" applyFont="1" applyFill="1" applyBorder="1"/>
    <xf numFmtId="9" fontId="0" fillId="11" borderId="16" xfId="2" applyFont="1" applyFill="1" applyBorder="1"/>
    <xf numFmtId="168" fontId="0" fillId="12" borderId="1" xfId="2" applyNumberFormat="1" applyFont="1" applyFill="1" applyBorder="1"/>
    <xf numFmtId="168" fontId="0" fillId="12" borderId="4" xfId="2" applyNumberFormat="1" applyFont="1" applyFill="1" applyBorder="1"/>
    <xf numFmtId="168" fontId="0" fillId="12" borderId="6" xfId="2" applyNumberFormat="1" applyFont="1" applyFill="1" applyBorder="1"/>
    <xf numFmtId="169" fontId="3" fillId="0" borderId="39" xfId="1" applyNumberFormat="1" applyFont="1" applyBorder="1"/>
    <xf numFmtId="169" fontId="3" fillId="0" borderId="40" xfId="1" applyNumberFormat="1" applyFont="1" applyBorder="1"/>
    <xf numFmtId="166" fontId="0" fillId="0" borderId="32" xfId="2" applyNumberFormat="1" applyFont="1" applyBorder="1"/>
    <xf numFmtId="0" fontId="0" fillId="0" borderId="26" xfId="2" applyNumberFormat="1" applyFont="1" applyFill="1" applyBorder="1"/>
    <xf numFmtId="37" fontId="16" fillId="0" borderId="32" xfId="1" applyNumberFormat="1" applyFont="1" applyBorder="1"/>
    <xf numFmtId="37" fontId="16" fillId="0" borderId="26" xfId="1" applyNumberFormat="1" applyFont="1" applyBorder="1"/>
    <xf numFmtId="0" fontId="0" fillId="0" borderId="32" xfId="0" applyBorder="1"/>
    <xf numFmtId="0" fontId="0" fillId="0" borderId="26" xfId="0" applyBorder="1"/>
    <xf numFmtId="0" fontId="9" fillId="6" borderId="32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26" xfId="0" applyFont="1" applyFill="1" applyBorder="1" applyAlignment="1">
      <alignment horizontal="center"/>
    </xf>
    <xf numFmtId="37" fontId="0" fillId="0" borderId="32" xfId="1" applyNumberFormat="1" applyFont="1" applyBorder="1"/>
    <xf numFmtId="37" fontId="0" fillId="0" borderId="26" xfId="1" applyNumberFormat="1" applyFont="1" applyBorder="1"/>
    <xf numFmtId="37" fontId="0" fillId="0" borderId="33" xfId="1" applyNumberFormat="1" applyFont="1" applyBorder="1"/>
    <xf numFmtId="37" fontId="0" fillId="0" borderId="27" xfId="1" applyNumberFormat="1" applyFont="1" applyBorder="1"/>
    <xf numFmtId="37" fontId="3" fillId="0" borderId="32" xfId="1" applyNumberFormat="1" applyFont="1" applyBorder="1"/>
    <xf numFmtId="37" fontId="3" fillId="0" borderId="0" xfId="1" applyNumberFormat="1" applyFont="1" applyBorder="1"/>
    <xf numFmtId="37" fontId="3" fillId="0" borderId="26" xfId="1" applyNumberFormat="1" applyFont="1" applyBorder="1"/>
    <xf numFmtId="37" fontId="0" fillId="0" borderId="57" xfId="1" applyNumberFormat="1" applyFont="1" applyBorder="1"/>
    <xf numFmtId="37" fontId="0" fillId="0" borderId="58" xfId="1" applyNumberFormat="1" applyFont="1" applyBorder="1"/>
    <xf numFmtId="0" fontId="0" fillId="0" borderId="32" xfId="2" applyNumberFormat="1" applyFont="1" applyFill="1" applyBorder="1"/>
    <xf numFmtId="9" fontId="3" fillId="0" borderId="32" xfId="2" applyFont="1" applyBorder="1"/>
    <xf numFmtId="9" fontId="3" fillId="0" borderId="0" xfId="2" applyFont="1" applyBorder="1"/>
    <xf numFmtId="9" fontId="3" fillId="0" borderId="26" xfId="2" applyFont="1" applyBorder="1"/>
    <xf numFmtId="169" fontId="11" fillId="0" borderId="39" xfId="1" applyNumberFormat="1" applyFont="1" applyBorder="1"/>
    <xf numFmtId="169" fontId="11" fillId="0" borderId="18" xfId="1" applyNumberFormat="1" applyFont="1" applyBorder="1"/>
    <xf numFmtId="169" fontId="11" fillId="0" borderId="40" xfId="1" applyNumberFormat="1" applyFont="1" applyBorder="1"/>
    <xf numFmtId="0" fontId="0" fillId="0" borderId="37" xfId="0" applyBorder="1"/>
    <xf numFmtId="0" fontId="9" fillId="6" borderId="37" xfId="0" applyFont="1" applyFill="1" applyBorder="1" applyAlignment="1">
      <alignment horizontal="left"/>
    </xf>
    <xf numFmtId="0" fontId="0" fillId="0" borderId="37" xfId="0" applyBorder="1" applyAlignment="1">
      <alignment horizontal="left" indent="1"/>
    </xf>
    <xf numFmtId="0" fontId="11" fillId="0" borderId="37" xfId="0" applyFont="1" applyBorder="1"/>
    <xf numFmtId="170" fontId="0" fillId="0" borderId="37" xfId="0" applyNumberFormat="1" applyBorder="1" applyAlignment="1">
      <alignment horizontal="left" indent="1"/>
    </xf>
    <xf numFmtId="168" fontId="9" fillId="5" borderId="33" xfId="0" applyNumberFormat="1" applyFont="1" applyFill="1" applyBorder="1" applyAlignment="1">
      <alignment horizontal="center"/>
    </xf>
    <xf numFmtId="168" fontId="9" fillId="5" borderId="17" xfId="0" applyNumberFormat="1" applyFont="1" applyFill="1" applyBorder="1" applyAlignment="1">
      <alignment horizontal="center"/>
    </xf>
    <xf numFmtId="168" fontId="9" fillId="5" borderId="27" xfId="0" applyNumberFormat="1" applyFont="1" applyFill="1" applyBorder="1" applyAlignment="1">
      <alignment horizontal="center"/>
    </xf>
    <xf numFmtId="168" fontId="9" fillId="5" borderId="59" xfId="0" applyNumberFormat="1" applyFont="1" applyFill="1" applyBorder="1" applyAlignment="1">
      <alignment horizontal="center"/>
    </xf>
    <xf numFmtId="0" fontId="0" fillId="0" borderId="28" xfId="0" applyBorder="1" applyAlignment="1">
      <alignment horizontal="left" indent="1"/>
    </xf>
    <xf numFmtId="169" fontId="0" fillId="0" borderId="33" xfId="1" applyNumberFormat="1" applyFont="1" applyBorder="1"/>
    <xf numFmtId="169" fontId="0" fillId="0" borderId="17" xfId="1" applyNumberFormat="1" applyFont="1" applyBorder="1"/>
    <xf numFmtId="169" fontId="0" fillId="0" borderId="27" xfId="1" applyNumberFormat="1" applyFont="1" applyBorder="1"/>
    <xf numFmtId="0" fontId="0" fillId="0" borderId="37" xfId="0" applyBorder="1" applyAlignment="1">
      <alignment horizontal="left"/>
    </xf>
    <xf numFmtId="169" fontId="0" fillId="11" borderId="32" xfId="1" applyNumberFormat="1" applyFont="1" applyFill="1" applyBorder="1"/>
    <xf numFmtId="169" fontId="0" fillId="11" borderId="0" xfId="1" applyNumberFormat="1" applyFont="1" applyFill="1" applyBorder="1"/>
    <xf numFmtId="169" fontId="0" fillId="11" borderId="26" xfId="1" applyNumberFormat="1" applyFont="1" applyFill="1" applyBorder="1"/>
    <xf numFmtId="0" fontId="9" fillId="6" borderId="38" xfId="0" applyFont="1" applyFill="1" applyBorder="1" applyAlignment="1">
      <alignment horizontal="left"/>
    </xf>
    <xf numFmtId="0" fontId="9" fillId="6" borderId="39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9" fillId="6" borderId="40" xfId="0" applyFont="1" applyFill="1" applyBorder="1" applyAlignment="1">
      <alignment horizontal="center"/>
    </xf>
    <xf numFmtId="0" fontId="0" fillId="0" borderId="28" xfId="0" applyBorder="1" applyAlignment="1">
      <alignment horizontal="left"/>
    </xf>
    <xf numFmtId="0" fontId="11" fillId="0" borderId="38" xfId="0" applyFont="1" applyBorder="1"/>
    <xf numFmtId="169" fontId="11" fillId="0" borderId="32" xfId="1" applyNumberFormat="1" applyFont="1" applyBorder="1"/>
    <xf numFmtId="169" fontId="11" fillId="0" borderId="0" xfId="1" applyNumberFormat="1" applyFont="1" applyBorder="1"/>
    <xf numFmtId="169" fontId="11" fillId="0" borderId="26" xfId="1" applyNumberFormat="1" applyFont="1" applyBorder="1"/>
    <xf numFmtId="0" fontId="11" fillId="0" borderId="28" xfId="0" applyFont="1" applyBorder="1"/>
    <xf numFmtId="169" fontId="11" fillId="0" borderId="33" xfId="1" applyNumberFormat="1" applyFont="1" applyBorder="1"/>
    <xf numFmtId="169" fontId="11" fillId="0" borderId="17" xfId="1" applyNumberFormat="1" applyFont="1" applyBorder="1"/>
    <xf numFmtId="169" fontId="11" fillId="0" borderId="27" xfId="1" applyNumberFormat="1" applyFont="1" applyBorder="1"/>
    <xf numFmtId="165" fontId="0" fillId="12" borderId="47" xfId="1" applyNumberFormat="1" applyFont="1" applyFill="1" applyBorder="1"/>
    <xf numFmtId="165" fontId="0" fillId="12" borderId="48" xfId="1" applyNumberFormat="1" applyFont="1" applyFill="1" applyBorder="1"/>
    <xf numFmtId="165" fontId="0" fillId="0" borderId="0" xfId="1" applyNumberFormat="1" applyFont="1"/>
    <xf numFmtId="0" fontId="19" fillId="0" borderId="0" xfId="3" applyFont="1"/>
    <xf numFmtId="9" fontId="0" fillId="0" borderId="0" xfId="2" applyFont="1"/>
    <xf numFmtId="0" fontId="0" fillId="0" borderId="40" xfId="0" applyBorder="1"/>
    <xf numFmtId="0" fontId="12" fillId="0" borderId="32" xfId="0" applyFont="1" applyBorder="1"/>
    <xf numFmtId="0" fontId="12" fillId="0" borderId="26" xfId="0" applyFont="1" applyBorder="1"/>
    <xf numFmtId="0" fontId="0" fillId="0" borderId="39" xfId="0" applyBorder="1"/>
    <xf numFmtId="0" fontId="0" fillId="0" borderId="18" xfId="0" applyBorder="1"/>
    <xf numFmtId="0" fontId="10" fillId="6" borderId="61" xfId="0" applyFont="1" applyFill="1" applyBorder="1"/>
    <xf numFmtId="0" fontId="9" fillId="6" borderId="61" xfId="0" applyFont="1" applyFill="1" applyBorder="1"/>
    <xf numFmtId="0" fontId="0" fillId="6" borderId="60" xfId="0" applyFill="1" applyBorder="1"/>
    <xf numFmtId="0" fontId="0" fillId="6" borderId="62" xfId="0" applyFill="1" applyBorder="1"/>
    <xf numFmtId="166" fontId="19" fillId="0" borderId="0" xfId="3" applyNumberFormat="1" applyFont="1"/>
    <xf numFmtId="168" fontId="9" fillId="5" borderId="31" xfId="0" applyNumberFormat="1" applyFont="1" applyFill="1" applyBorder="1" applyAlignment="1">
      <alignment horizontal="center"/>
    </xf>
    <xf numFmtId="168" fontId="9" fillId="5" borderId="22" xfId="0" applyNumberFormat="1" applyFont="1" applyFill="1" applyBorder="1" applyAlignment="1">
      <alignment horizontal="center"/>
    </xf>
    <xf numFmtId="168" fontId="9" fillId="5" borderId="63" xfId="0" applyNumberFormat="1" applyFont="1" applyFill="1" applyBorder="1" applyAlignment="1">
      <alignment horizontal="center"/>
    </xf>
    <xf numFmtId="165" fontId="0" fillId="0" borderId="0" xfId="0" applyNumberFormat="1"/>
    <xf numFmtId="165" fontId="0" fillId="12" borderId="0" xfId="1" applyNumberFormat="1" applyFont="1" applyFill="1" applyBorder="1" applyAlignment="1">
      <alignment horizontal="center"/>
    </xf>
    <xf numFmtId="168" fontId="0" fillId="0" borderId="0" xfId="0" applyNumberFormat="1"/>
    <xf numFmtId="37" fontId="0" fillId="0" borderId="0" xfId="0" applyNumberFormat="1"/>
    <xf numFmtId="9" fontId="0" fillId="11" borderId="7" xfId="2" applyFont="1" applyFill="1" applyBorder="1"/>
    <xf numFmtId="9" fontId="0" fillId="12" borderId="7" xfId="2" applyFont="1" applyFill="1" applyBorder="1"/>
    <xf numFmtId="166" fontId="0" fillId="0" borderId="0" xfId="2" applyNumberFormat="1" applyFont="1"/>
    <xf numFmtId="10" fontId="0" fillId="0" borderId="0" xfId="2" applyNumberFormat="1" applyFont="1"/>
    <xf numFmtId="2" fontId="0" fillId="0" borderId="0" xfId="0" applyNumberFormat="1"/>
    <xf numFmtId="9" fontId="0" fillId="11" borderId="0" xfId="2" applyFont="1" applyFill="1"/>
    <xf numFmtId="0" fontId="0" fillId="0" borderId="28" xfId="0" applyBorder="1"/>
    <xf numFmtId="37" fontId="0" fillId="0" borderId="0" xfId="1" applyNumberFormat="1" applyFont="1" applyFill="1" applyBorder="1"/>
    <xf numFmtId="43" fontId="0" fillId="0" borderId="0" xfId="0" applyNumberFormat="1"/>
    <xf numFmtId="0" fontId="18" fillId="0" borderId="37" xfId="0" applyFont="1" applyBorder="1" applyAlignment="1">
      <alignment horizontal="center"/>
    </xf>
    <xf numFmtId="0" fontId="9" fillId="6" borderId="64" xfId="0" applyFont="1" applyFill="1" applyBorder="1" applyAlignment="1">
      <alignment horizontal="center" vertical="center"/>
    </xf>
    <xf numFmtId="0" fontId="14" fillId="0" borderId="5" xfId="2" applyNumberFormat="1" applyFont="1" applyBorder="1" applyAlignment="1">
      <alignment horizontal="left"/>
    </xf>
    <xf numFmtId="165" fontId="0" fillId="0" borderId="65" xfId="1" applyNumberFormat="1" applyFont="1" applyFill="1" applyBorder="1"/>
    <xf numFmtId="0" fontId="0" fillId="0" borderId="66" xfId="0" applyBorder="1"/>
    <xf numFmtId="2" fontId="0" fillId="11" borderId="66" xfId="2" applyNumberFormat="1" applyFont="1" applyFill="1" applyBorder="1"/>
    <xf numFmtId="0" fontId="14" fillId="0" borderId="66" xfId="2" applyNumberFormat="1" applyFont="1" applyBorder="1" applyAlignment="1">
      <alignment horizontal="left"/>
    </xf>
    <xf numFmtId="2" fontId="0" fillId="12" borderId="66" xfId="2" applyNumberFormat="1" applyFont="1" applyFill="1" applyBorder="1"/>
    <xf numFmtId="0" fontId="0" fillId="0" borderId="4" xfId="0" applyBorder="1"/>
    <xf numFmtId="10" fontId="0" fillId="12" borderId="4" xfId="1" applyNumberFormat="1" applyFont="1" applyFill="1" applyBorder="1"/>
    <xf numFmtId="9" fontId="0" fillId="0" borderId="0" xfId="0" applyNumberFormat="1"/>
    <xf numFmtId="166" fontId="0" fillId="12" borderId="65" xfId="2" applyNumberFormat="1" applyFont="1" applyFill="1" applyBorder="1"/>
    <xf numFmtId="0" fontId="0" fillId="12" borderId="1" xfId="1" applyNumberFormat="1" applyFont="1" applyFill="1" applyBorder="1" applyAlignment="1">
      <alignment horizontal="center"/>
    </xf>
    <xf numFmtId="10" fontId="0" fillId="11" borderId="4" xfId="1" applyNumberFormat="1" applyFont="1" applyFill="1" applyBorder="1"/>
    <xf numFmtId="166" fontId="20" fillId="13" borderId="67" xfId="0" applyNumberFormat="1" applyFont="1" applyFill="1" applyBorder="1"/>
    <xf numFmtId="166" fontId="20" fillId="13" borderId="0" xfId="0" applyNumberFormat="1" applyFont="1" applyFill="1"/>
    <xf numFmtId="166" fontId="20" fillId="13" borderId="68" xfId="0" applyNumberFormat="1" applyFont="1" applyFill="1" applyBorder="1"/>
    <xf numFmtId="166" fontId="20" fillId="14" borderId="67" xfId="0" applyNumberFormat="1" applyFont="1" applyFill="1" applyBorder="1"/>
    <xf numFmtId="166" fontId="20" fillId="14" borderId="0" xfId="0" applyNumberFormat="1" applyFont="1" applyFill="1"/>
    <xf numFmtId="166" fontId="20" fillId="14" borderId="68" xfId="0" applyNumberFormat="1" applyFont="1" applyFill="1" applyBorder="1"/>
    <xf numFmtId="0" fontId="5" fillId="11" borderId="0" xfId="0" applyFont="1" applyFill="1" applyAlignment="1">
      <alignment horizontal="center"/>
    </xf>
    <xf numFmtId="0" fontId="0" fillId="7" borderId="0" xfId="2" applyNumberFormat="1" applyFont="1" applyFill="1" applyBorder="1"/>
    <xf numFmtId="0" fontId="0" fillId="0" borderId="0" xfId="0" applyAlignment="1">
      <alignment horizontal="right"/>
    </xf>
    <xf numFmtId="171" fontId="0" fillId="0" borderId="0" xfId="0" applyNumberFormat="1"/>
    <xf numFmtId="14" fontId="5" fillId="11" borderId="0" xfId="0" applyNumberFormat="1" applyFont="1" applyFill="1" applyAlignment="1">
      <alignment horizontal="center"/>
    </xf>
    <xf numFmtId="0" fontId="18" fillId="10" borderId="29" xfId="0" applyFont="1" applyFill="1" applyBorder="1" applyAlignment="1">
      <alignment horizontal="center"/>
    </xf>
    <xf numFmtId="0" fontId="18" fillId="10" borderId="24" xfId="0" applyFont="1" applyFill="1" applyBorder="1" applyAlignment="1">
      <alignment horizontal="center"/>
    </xf>
    <xf numFmtId="0" fontId="18" fillId="10" borderId="30" xfId="0" applyFont="1" applyFill="1" applyBorder="1" applyAlignment="1">
      <alignment horizontal="center"/>
    </xf>
    <xf numFmtId="0" fontId="18" fillId="9" borderId="32" xfId="0" applyFont="1" applyFill="1" applyBorder="1" applyAlignment="1">
      <alignment horizontal="center"/>
    </xf>
    <xf numFmtId="0" fontId="18" fillId="9" borderId="0" xfId="0" applyFont="1" applyFill="1" applyAlignment="1">
      <alignment horizontal="center"/>
    </xf>
    <xf numFmtId="0" fontId="18" fillId="9" borderId="26" xfId="0" applyFont="1" applyFill="1" applyBorder="1" applyAlignment="1">
      <alignment horizontal="center"/>
    </xf>
    <xf numFmtId="0" fontId="18" fillId="10" borderId="31" xfId="0" applyFont="1" applyFill="1" applyBorder="1" applyAlignment="1">
      <alignment horizontal="center"/>
    </xf>
    <xf numFmtId="0" fontId="18" fillId="10" borderId="22" xfId="0" applyFont="1" applyFill="1" applyBorder="1" applyAlignment="1">
      <alignment horizontal="center"/>
    </xf>
    <xf numFmtId="0" fontId="18" fillId="10" borderId="23" xfId="0" applyFont="1" applyFill="1" applyBorder="1" applyAlignment="1">
      <alignment horizontal="center"/>
    </xf>
    <xf numFmtId="0" fontId="18" fillId="10" borderId="21" xfId="0" applyFont="1" applyFill="1" applyBorder="1" applyAlignment="1">
      <alignment horizontal="center"/>
    </xf>
    <xf numFmtId="0" fontId="18" fillId="10" borderId="25" xfId="0" applyFont="1" applyFill="1" applyBorder="1" applyAlignment="1">
      <alignment horizontal="center"/>
    </xf>
    <xf numFmtId="0" fontId="14" fillId="0" borderId="6" xfId="2" applyNumberFormat="1" applyFont="1" applyBorder="1" applyAlignment="1">
      <alignment horizontal="left"/>
    </xf>
    <xf numFmtId="0" fontId="14" fillId="0" borderId="7" xfId="2" applyNumberFormat="1" applyFont="1" applyBorder="1" applyAlignment="1">
      <alignment horizontal="left"/>
    </xf>
    <xf numFmtId="0" fontId="14" fillId="0" borderId="8" xfId="2" applyNumberFormat="1" applyFont="1" applyBorder="1" applyAlignment="1">
      <alignment horizontal="left"/>
    </xf>
    <xf numFmtId="0" fontId="14" fillId="0" borderId="4" xfId="2" applyNumberFormat="1" applyFont="1" applyBorder="1" applyAlignment="1">
      <alignment horizontal="left"/>
    </xf>
    <xf numFmtId="0" fontId="14" fillId="0" borderId="0" xfId="2" applyNumberFormat="1" applyFont="1" applyBorder="1" applyAlignment="1">
      <alignment horizontal="left"/>
    </xf>
    <xf numFmtId="0" fontId="14" fillId="0" borderId="5" xfId="2" applyNumberFormat="1" applyFont="1" applyBorder="1" applyAlignment="1">
      <alignment horizontal="left"/>
    </xf>
    <xf numFmtId="0" fontId="12" fillId="0" borderId="13" xfId="2" applyNumberFormat="1" applyFont="1" applyBorder="1" applyAlignment="1">
      <alignment horizontal="center" vertical="center"/>
    </xf>
    <xf numFmtId="0" fontId="12" fillId="0" borderId="14" xfId="2" applyNumberFormat="1" applyFont="1" applyBorder="1" applyAlignment="1">
      <alignment horizontal="center" vertical="center"/>
    </xf>
    <xf numFmtId="0" fontId="12" fillId="0" borderId="15" xfId="2" applyNumberFormat="1" applyFont="1" applyBorder="1" applyAlignment="1">
      <alignment horizontal="center" vertical="center"/>
    </xf>
    <xf numFmtId="0" fontId="14" fillId="0" borderId="1" xfId="2" applyNumberFormat="1" applyFont="1" applyBorder="1" applyAlignment="1">
      <alignment horizontal="left"/>
    </xf>
    <xf numFmtId="0" fontId="14" fillId="0" borderId="2" xfId="2" applyNumberFormat="1" applyFont="1" applyBorder="1" applyAlignment="1">
      <alignment horizontal="left"/>
    </xf>
    <xf numFmtId="0" fontId="14" fillId="0" borderId="3" xfId="2" applyNumberFormat="1" applyFont="1" applyBorder="1" applyAlignment="1">
      <alignment horizontal="left"/>
    </xf>
    <xf numFmtId="0" fontId="18" fillId="9" borderId="29" xfId="0" applyFont="1" applyFill="1" applyBorder="1" applyAlignment="1">
      <alignment horizontal="center"/>
    </xf>
    <xf numFmtId="0" fontId="18" fillId="9" borderId="24" xfId="0" applyFont="1" applyFill="1" applyBorder="1" applyAlignment="1">
      <alignment horizontal="center"/>
    </xf>
    <xf numFmtId="0" fontId="18" fillId="9" borderId="30" xfId="0" applyFont="1" applyFill="1" applyBorder="1" applyAlignment="1">
      <alignment horizontal="center"/>
    </xf>
    <xf numFmtId="0" fontId="13" fillId="0" borderId="14" xfId="2" applyNumberFormat="1" applyFont="1" applyBorder="1" applyAlignment="1">
      <alignment horizontal="center"/>
    </xf>
    <xf numFmtId="0" fontId="13" fillId="0" borderId="15" xfId="2" applyNumberFormat="1" applyFont="1" applyBorder="1" applyAlignment="1">
      <alignment horizontal="center"/>
    </xf>
    <xf numFmtId="0" fontId="14" fillId="0" borderId="14" xfId="2" applyNumberFormat="1" applyFont="1" applyBorder="1" applyAlignment="1">
      <alignment horizontal="left"/>
    </xf>
    <xf numFmtId="0" fontId="14" fillId="0" borderId="15" xfId="2" applyNumberFormat="1" applyFont="1" applyBorder="1" applyAlignment="1">
      <alignment horizontal="left"/>
    </xf>
    <xf numFmtId="0" fontId="1" fillId="0" borderId="14" xfId="2" applyNumberFormat="1" applyFont="1" applyBorder="1" applyAlignment="1">
      <alignment horizontal="center"/>
    </xf>
    <xf numFmtId="0" fontId="1" fillId="0" borderId="15" xfId="2" applyNumberFormat="1" applyFont="1" applyBorder="1" applyAlignment="1">
      <alignment horizontal="center"/>
    </xf>
    <xf numFmtId="0" fontId="18" fillId="10" borderId="43" xfId="0" applyFont="1" applyFill="1" applyBorder="1" applyAlignment="1">
      <alignment horizontal="center"/>
    </xf>
    <xf numFmtId="0" fontId="18" fillId="10" borderId="44" xfId="0" applyFont="1" applyFill="1" applyBorder="1" applyAlignment="1">
      <alignment horizontal="center"/>
    </xf>
    <xf numFmtId="0" fontId="18" fillId="9" borderId="47" xfId="0" applyFont="1" applyFill="1" applyBorder="1" applyAlignment="1">
      <alignment horizontal="center"/>
    </xf>
    <xf numFmtId="0" fontId="18" fillId="9" borderId="48" xfId="0" applyFont="1" applyFill="1" applyBorder="1" applyAlignment="1">
      <alignment horizontal="center"/>
    </xf>
    <xf numFmtId="0" fontId="18" fillId="10" borderId="45" xfId="0" applyFont="1" applyFill="1" applyBorder="1" applyAlignment="1">
      <alignment horizontal="center"/>
    </xf>
    <xf numFmtId="0" fontId="18" fillId="10" borderId="46" xfId="0" applyFont="1" applyFill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3" fillId="0" borderId="13" xfId="2" applyNumberFormat="1" applyFont="1" applyBorder="1" applyAlignment="1">
      <alignment horizontal="center"/>
    </xf>
    <xf numFmtId="0" fontId="12" fillId="0" borderId="14" xfId="2" applyNumberFormat="1" applyFont="1" applyBorder="1" applyAlignment="1">
      <alignment horizontal="center" vertical="center" wrapText="1"/>
    </xf>
    <xf numFmtId="0" fontId="12" fillId="0" borderId="15" xfId="2" applyNumberFormat="1" applyFont="1" applyBorder="1" applyAlignment="1">
      <alignment horizontal="center" vertical="center" wrapText="1"/>
    </xf>
  </cellXfs>
  <cellStyles count="4">
    <cellStyle name="Comma" xfId="1" builtinId="3"/>
    <cellStyle name="Heading 1" xfId="3" builtinId="16" customBuiltin="1"/>
    <cellStyle name="Normal" xfId="0" builtinId="0"/>
    <cellStyle name="Percent" xfId="2" builtinId="5"/>
  </cellStyles>
  <dxfs count="6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9"/>
      <color rgb="FFEAF1FA"/>
      <color rgb="FFEAE1FB"/>
      <color rgb="FFCEF6D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Quarterly</a:t>
            </a:r>
            <a:r>
              <a:rPr lang="en-US" baseline="0"/>
              <a:t> Revenues (first two years)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'Top-Down'!$A$42</c:f>
              <c:strCache>
                <c:ptCount val="1"/>
                <c:pt idx="0">
                  <c:v>Market 1</c:v>
                </c:pt>
              </c:strCache>
            </c:strRef>
          </c:tx>
          <c:xVal>
            <c:numRef>
              <c:f>'Top-Down'!$B$41:$I$41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'Top-Down'!$B$42:$I$42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975000</c:v>
                </c:pt>
                <c:pt idx="5">
                  <c:v>975000</c:v>
                </c:pt>
                <c:pt idx="6">
                  <c:v>975000</c:v>
                </c:pt>
                <c:pt idx="7">
                  <c:v>975000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CB-4FC3-8489-2D98CE953269}"/>
            </c:ext>
          </c:extLst>
        </c:ser>
        <c:ser>
          <c:idx val="1"/>
          <c:order val="1"/>
          <c:tx>
            <c:strRef>
              <c:f>'Top-Down'!$A$43</c:f>
              <c:strCache>
                <c:ptCount val="1"/>
                <c:pt idx="0">
                  <c:v>Market 2</c:v>
                </c:pt>
              </c:strCache>
            </c:strRef>
          </c:tx>
          <c:xVal>
            <c:numRef>
              <c:f>'Top-Down'!$B$41:$I$41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'Top-Down'!$B$43:$I$43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CB-4FC3-8489-2D98CE953269}"/>
            </c:ext>
          </c:extLst>
        </c:ser>
        <c:ser>
          <c:idx val="2"/>
          <c:order val="2"/>
          <c:tx>
            <c:strRef>
              <c:f>'Top-Down'!$A$44</c:f>
              <c:strCache>
                <c:ptCount val="1"/>
                <c:pt idx="0">
                  <c:v>Market 3</c:v>
                </c:pt>
              </c:strCache>
            </c:strRef>
          </c:tx>
          <c:xVal>
            <c:numRef>
              <c:f>'Top-Down'!$B$41:$I$41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'Top-Down'!$B$44:$I$44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CB-4FC3-8489-2D98CE953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385520"/>
        <c:axId val="215386080"/>
      </c:scatterChart>
      <c:valAx>
        <c:axId val="21538552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5386080"/>
        <c:crosses val="autoZero"/>
        <c:crossBetween val="midCat"/>
      </c:valAx>
      <c:valAx>
        <c:axId val="215386080"/>
        <c:scaling>
          <c:orientation val="minMax"/>
        </c:scaling>
        <c:delete val="0"/>
        <c:axPos val="l"/>
        <c:majorGridlines/>
        <c:title>
          <c:tx>
            <c:strRef>
              <c:f>'Top-Down'!$A$2</c:f>
              <c:strCache>
                <c:ptCount val="1"/>
                <c:pt idx="0">
                  <c:v>Revenues (USD)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538552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Annual Revenues by Product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'Top-Down'!$Q$25</c:f>
              <c:strCache>
                <c:ptCount val="1"/>
                <c:pt idx="0">
                  <c:v>Market 1</c:v>
                </c:pt>
              </c:strCache>
            </c:strRef>
          </c:tx>
          <c:xVal>
            <c:numRef>
              <c:f>'Top-Down'!$R$24:$W$24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'Top-Down'!$R$25:$W$25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3900000</c:v>
                </c:pt>
                <c:pt idx="2">
                  <c:v>8450000.0000000019</c:v>
                </c:pt>
                <c:pt idx="3">
                  <c:v>11534250.000000004</c:v>
                </c:pt>
                <c:pt idx="4">
                  <c:v>15744251.250000006</c:v>
                </c:pt>
                <c:pt idx="5">
                  <c:v>21490902.956250012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0C-4CFF-9BAE-ED70643FE7C0}"/>
            </c:ext>
          </c:extLst>
        </c:ser>
        <c:ser>
          <c:idx val="1"/>
          <c:order val="1"/>
          <c:tx>
            <c:strRef>
              <c:f>'Top-Down'!$Q$26</c:f>
              <c:strCache>
                <c:ptCount val="1"/>
                <c:pt idx="0">
                  <c:v>Market 2</c:v>
                </c:pt>
              </c:strCache>
            </c:strRef>
          </c:tx>
          <c:xVal>
            <c:numRef>
              <c:f>'Top-Down'!$R$24:$W$24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'Top-Down'!$R$26:$W$26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2278125.0000000005</c:v>
                </c:pt>
                <c:pt idx="3">
                  <c:v>3536789.0625</c:v>
                </c:pt>
                <c:pt idx="4">
                  <c:v>5490865.0195312509</c:v>
                </c:pt>
                <c:pt idx="5">
                  <c:v>8524567.9428222664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A0C-4CFF-9BAE-ED70643FE7C0}"/>
            </c:ext>
          </c:extLst>
        </c:ser>
        <c:ser>
          <c:idx val="2"/>
          <c:order val="2"/>
          <c:tx>
            <c:strRef>
              <c:f>'Top-Down'!$Q$27</c:f>
              <c:strCache>
                <c:ptCount val="1"/>
                <c:pt idx="0">
                  <c:v>Market 3</c:v>
                </c:pt>
              </c:strCache>
            </c:strRef>
          </c:tx>
          <c:xVal>
            <c:numRef>
              <c:f>'Top-Down'!$R$24:$W$24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'Top-Down'!$R$27:$W$27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A0C-4CFF-9BAE-ED70643FE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390000"/>
        <c:axId val="215390560"/>
      </c:scatterChart>
      <c:valAx>
        <c:axId val="21539000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5390560"/>
        <c:crosses val="autoZero"/>
        <c:crossBetween val="midCat"/>
      </c:valAx>
      <c:valAx>
        <c:axId val="215390560"/>
        <c:scaling>
          <c:orientation val="minMax"/>
        </c:scaling>
        <c:delete val="0"/>
        <c:axPos val="l"/>
        <c:majorGridlines/>
        <c:title>
          <c:tx>
            <c:strRef>
              <c:f>'Top-Down'!$A$2</c:f>
              <c:strCache>
                <c:ptCount val="1"/>
                <c:pt idx="0">
                  <c:v>Revenues (USD)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539000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Quarterly Revenues (first two years)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'Bottom-Up'!$A$24</c:f>
              <c:strCache>
                <c:ptCount val="1"/>
                <c:pt idx="0">
                  <c:v>Wonderfoal</c:v>
                </c:pt>
              </c:strCache>
            </c:strRef>
          </c:tx>
          <c:xVal>
            <c:numRef>
              <c:f>'Bottom-Up'!$B$23:$I$23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'Bottom-Up'!$B$24:$I$24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578549.99999999988</c:v>
                </c:pt>
                <c:pt idx="5">
                  <c:v>578549.99999999988</c:v>
                </c:pt>
                <c:pt idx="6">
                  <c:v>578549.99999999988</c:v>
                </c:pt>
                <c:pt idx="7">
                  <c:v>578549.99999999988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94-4926-A842-BA030FC975C2}"/>
            </c:ext>
          </c:extLst>
        </c:ser>
        <c:ser>
          <c:idx val="1"/>
          <c:order val="1"/>
          <c:tx>
            <c:strRef>
              <c:f>'Bottom-Up'!$A$25</c:f>
              <c:strCache>
                <c:ptCount val="1"/>
                <c:pt idx="0">
                  <c:v>NakotaStar</c:v>
                </c:pt>
              </c:strCache>
            </c:strRef>
          </c:tx>
          <c:xVal>
            <c:numRef>
              <c:f>'Bottom-Up'!$B$23:$I$23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'Bottom-Up'!$B$25:$I$25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794-4926-A842-BA030FC975C2}"/>
            </c:ext>
          </c:extLst>
        </c:ser>
        <c:ser>
          <c:idx val="2"/>
          <c:order val="2"/>
          <c:tx>
            <c:strRef>
              <c:f>'Bottom-Up'!$A$26</c:f>
              <c:strCache>
                <c:ptCount val="1"/>
                <c:pt idx="0">
                  <c:v>Product 3</c:v>
                </c:pt>
              </c:strCache>
            </c:strRef>
          </c:tx>
          <c:xVal>
            <c:numRef>
              <c:f>'Bottom-Up'!$B$23:$I$23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'Bottom-Up'!$B$26:$I$26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794-4926-A842-BA030FC97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394480"/>
        <c:axId val="215395040"/>
      </c:scatterChart>
      <c:valAx>
        <c:axId val="21539448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5395040"/>
        <c:crosses val="autoZero"/>
        <c:crossBetween val="midCat"/>
      </c:valAx>
      <c:valAx>
        <c:axId val="215395040"/>
        <c:scaling>
          <c:orientation val="minMax"/>
        </c:scaling>
        <c:delete val="0"/>
        <c:axPos val="l"/>
        <c:majorGridlines/>
        <c:title>
          <c:tx>
            <c:strRef>
              <c:f>'Bottom-Up'!$A$2</c:f>
              <c:strCache>
                <c:ptCount val="1"/>
                <c:pt idx="0">
                  <c:v>Revenues (USD)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539448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Annual Revenues by Product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'Bottom-Up'!$Q$24</c:f>
              <c:strCache>
                <c:ptCount val="1"/>
                <c:pt idx="0">
                  <c:v>Wonderfoal</c:v>
                </c:pt>
              </c:strCache>
            </c:strRef>
          </c:tx>
          <c:xVal>
            <c:numRef>
              <c:f>'Bottom-Up'!$R$23:$W$23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'Bottom-Up'!$R$24:$W$24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2314199.9999999995</c:v>
                </c:pt>
                <c:pt idx="2">
                  <c:v>4628399.9999999991</c:v>
                </c:pt>
                <c:pt idx="3">
                  <c:v>6942599.9999999991</c:v>
                </c:pt>
                <c:pt idx="4">
                  <c:v>9256799.9999999981</c:v>
                </c:pt>
                <c:pt idx="5">
                  <c:v>11570999.999999998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0A9-4DAB-B930-4B29EA787E36}"/>
            </c:ext>
          </c:extLst>
        </c:ser>
        <c:ser>
          <c:idx val="1"/>
          <c:order val="1"/>
          <c:tx>
            <c:strRef>
              <c:f>'Bottom-Up'!$Q$25</c:f>
              <c:strCache>
                <c:ptCount val="1"/>
                <c:pt idx="0">
                  <c:v>NakotaStar</c:v>
                </c:pt>
              </c:strCache>
            </c:strRef>
          </c:tx>
          <c:xVal>
            <c:numRef>
              <c:f>'Bottom-Up'!$R$23:$W$23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'Bottom-Up'!$R$25:$W$25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2964000</c:v>
                </c:pt>
                <c:pt idx="3">
                  <c:v>5928000</c:v>
                </c:pt>
                <c:pt idx="4">
                  <c:v>11856000</c:v>
                </c:pt>
                <c:pt idx="5">
                  <c:v>23712000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0A9-4DAB-B930-4B29EA787E36}"/>
            </c:ext>
          </c:extLst>
        </c:ser>
        <c:ser>
          <c:idx val="2"/>
          <c:order val="2"/>
          <c:tx>
            <c:strRef>
              <c:f>'Bottom-Up'!$Q$26</c:f>
              <c:strCache>
                <c:ptCount val="1"/>
                <c:pt idx="0">
                  <c:v>Product 3</c:v>
                </c:pt>
              </c:strCache>
            </c:strRef>
          </c:tx>
          <c:xVal>
            <c:numRef>
              <c:f>'Bottom-Up'!$R$23:$W$23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'Bottom-Up'!$R$26:$W$26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0A9-4DAB-B930-4B29EA787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011440"/>
        <c:axId val="217012000"/>
      </c:scatterChart>
      <c:valAx>
        <c:axId val="21701144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7012000"/>
        <c:crosses val="autoZero"/>
        <c:crossBetween val="midCat"/>
      </c:valAx>
      <c:valAx>
        <c:axId val="217012000"/>
        <c:scaling>
          <c:orientation val="minMax"/>
        </c:scaling>
        <c:delete val="0"/>
        <c:axPos val="l"/>
        <c:majorGridlines/>
        <c:title>
          <c:tx>
            <c:strRef>
              <c:f>'Top-Down'!$A$2</c:f>
              <c:strCache>
                <c:ptCount val="1"/>
                <c:pt idx="0">
                  <c:v>Revenues (USD)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701144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Quarterly Revenues (first two years)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Revenues!$A$16</c:f>
              <c:strCache>
                <c:ptCount val="1"/>
                <c:pt idx="0">
                  <c:v>Wonderfoal</c:v>
                </c:pt>
              </c:strCache>
            </c:strRef>
          </c:tx>
          <c:xVal>
            <c:numRef>
              <c:f>Revenues!$B$15:$I$15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Revenues!$B$16:$I$16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578549.99999999988</c:v>
                </c:pt>
                <c:pt idx="5">
                  <c:v>578549.99999999988</c:v>
                </c:pt>
                <c:pt idx="6">
                  <c:v>578549.99999999988</c:v>
                </c:pt>
                <c:pt idx="7">
                  <c:v>578549.99999999988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4A-4A6A-BC25-24EC975BA5CA}"/>
            </c:ext>
          </c:extLst>
        </c:ser>
        <c:ser>
          <c:idx val="1"/>
          <c:order val="1"/>
          <c:tx>
            <c:strRef>
              <c:f>Revenues!$A$17</c:f>
              <c:strCache>
                <c:ptCount val="1"/>
                <c:pt idx="0">
                  <c:v>NakotaStar</c:v>
                </c:pt>
              </c:strCache>
            </c:strRef>
          </c:tx>
          <c:xVal>
            <c:numRef>
              <c:f>Revenues!$B$15:$I$15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Revenues!$B$17:$I$17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E4A-4A6A-BC25-24EC975BA5CA}"/>
            </c:ext>
          </c:extLst>
        </c:ser>
        <c:ser>
          <c:idx val="2"/>
          <c:order val="2"/>
          <c:tx>
            <c:strRef>
              <c:f>Revenues!$A$18</c:f>
              <c:strCache>
                <c:ptCount val="1"/>
                <c:pt idx="0">
                  <c:v>Product 3</c:v>
                </c:pt>
              </c:strCache>
            </c:strRef>
          </c:tx>
          <c:xVal>
            <c:numRef>
              <c:f>Revenues!$B$15:$I$15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Revenues!$B$18:$I$18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E4A-4A6A-BC25-24EC975BA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015920"/>
        <c:axId val="217016480"/>
      </c:scatterChart>
      <c:valAx>
        <c:axId val="21701592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7016480"/>
        <c:crosses val="autoZero"/>
        <c:crossBetween val="midCat"/>
      </c:valAx>
      <c:valAx>
        <c:axId val="217016480"/>
        <c:scaling>
          <c:orientation val="minMax"/>
        </c:scaling>
        <c:delete val="0"/>
        <c:axPos val="l"/>
        <c:majorGridlines/>
        <c:title>
          <c:tx>
            <c:strRef>
              <c:f>Revenues!$A$2</c:f>
              <c:strCache>
                <c:ptCount val="1"/>
                <c:pt idx="0">
                  <c:v>Revenues (USD)</c:v>
                </c:pt>
              </c:strCache>
            </c:strRef>
          </c:tx>
          <c:layout>
            <c:manualLayout>
              <c:xMode val="edge"/>
              <c:yMode val="edge"/>
              <c:x val="3.0555555555555555E-2"/>
              <c:y val="0.26839883373780049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701592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Annual Revenues by Product</a:t>
            </a:r>
          </a:p>
          <a:p>
            <a:pPr>
              <a:defRPr/>
            </a:pPr>
            <a:r>
              <a:rPr lang="en-US"/>
              <a:t>(2020-2025)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Revenues!$Q$27</c:f>
              <c:strCache>
                <c:ptCount val="1"/>
                <c:pt idx="0">
                  <c:v>Wonderfoal</c:v>
                </c:pt>
              </c:strCache>
            </c:strRef>
          </c:tx>
          <c:xVal>
            <c:numRef>
              <c:f>Revenues!$R$26:$W$26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Revenues!$R$27:$W$27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2314199.9999999995</c:v>
                </c:pt>
                <c:pt idx="2">
                  <c:v>4628399.9999999991</c:v>
                </c:pt>
                <c:pt idx="3">
                  <c:v>6942599.9999999991</c:v>
                </c:pt>
                <c:pt idx="4">
                  <c:v>9256799.9999999981</c:v>
                </c:pt>
                <c:pt idx="5">
                  <c:v>11570999.999999998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69-4D28-ADE0-C31E23C17006}"/>
            </c:ext>
          </c:extLst>
        </c:ser>
        <c:ser>
          <c:idx val="1"/>
          <c:order val="1"/>
          <c:tx>
            <c:strRef>
              <c:f>Revenues!$Q$28</c:f>
              <c:strCache>
                <c:ptCount val="1"/>
                <c:pt idx="0">
                  <c:v>NakotaStar</c:v>
                </c:pt>
              </c:strCache>
            </c:strRef>
          </c:tx>
          <c:xVal>
            <c:numRef>
              <c:f>Revenues!$R$26:$W$26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Revenues!$R$28:$W$28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2964000</c:v>
                </c:pt>
                <c:pt idx="3">
                  <c:v>5928000</c:v>
                </c:pt>
                <c:pt idx="4">
                  <c:v>11856000</c:v>
                </c:pt>
                <c:pt idx="5">
                  <c:v>23712000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69-4D28-ADE0-C31E23C17006}"/>
            </c:ext>
          </c:extLst>
        </c:ser>
        <c:ser>
          <c:idx val="2"/>
          <c:order val="2"/>
          <c:tx>
            <c:strRef>
              <c:f>Revenues!$Q$29</c:f>
              <c:strCache>
                <c:ptCount val="1"/>
                <c:pt idx="0">
                  <c:v>Product 3</c:v>
                </c:pt>
              </c:strCache>
            </c:strRef>
          </c:tx>
          <c:xVal>
            <c:numRef>
              <c:f>Revenues!$R$26:$W$26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Revenues!$R$29:$W$29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069-4D28-ADE0-C31E23C17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020400"/>
        <c:axId val="217020960"/>
      </c:scatterChart>
      <c:valAx>
        <c:axId val="21702040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7020960"/>
        <c:crosses val="autoZero"/>
        <c:crossBetween val="midCat"/>
      </c:valAx>
      <c:valAx>
        <c:axId val="217020960"/>
        <c:scaling>
          <c:orientation val="minMax"/>
        </c:scaling>
        <c:delete val="0"/>
        <c:axPos val="l"/>
        <c:majorGridlines/>
        <c:title>
          <c:tx>
            <c:strRef>
              <c:f>'Top-Down'!$A$2</c:f>
              <c:strCache>
                <c:ptCount val="1"/>
                <c:pt idx="0">
                  <c:v>Revenues (USD)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702040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Quarterly</a:t>
            </a:r>
            <a:r>
              <a:rPr lang="en-GB" baseline="0"/>
              <a:t> COGS - Top-down (first two years)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2059071545125"/>
          <c:y val="0.25196143146777311"/>
          <c:w val="0.71151862275908129"/>
          <c:h val="0.50982599026266751"/>
        </c:manualLayout>
      </c:layout>
      <c:scatterChart>
        <c:scatterStyle val="lineMarker"/>
        <c:varyColors val="0"/>
        <c:ser>
          <c:idx val="1"/>
          <c:order val="0"/>
          <c:tx>
            <c:strRef>
              <c:f>COGS!$A$18</c:f>
              <c:strCache>
                <c:ptCount val="1"/>
                <c:pt idx="0">
                  <c:v>Wonderfoal</c:v>
                </c:pt>
              </c:strCache>
            </c:strRef>
          </c:tx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COGS!$B$18:$I$18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253749.99999999997</c:v>
                </c:pt>
                <c:pt idx="5">
                  <c:v>253749.99999999997</c:v>
                </c:pt>
                <c:pt idx="6">
                  <c:v>253749.99999999997</c:v>
                </c:pt>
                <c:pt idx="7">
                  <c:v>253749.99999999997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07-45F8-A6D6-4DEA06A57D4E}"/>
            </c:ext>
          </c:extLst>
        </c:ser>
        <c:ser>
          <c:idx val="0"/>
          <c:order val="1"/>
          <c:tx>
            <c:strRef>
              <c:f>COGS!$A$19</c:f>
              <c:strCache>
                <c:ptCount val="1"/>
                <c:pt idx="0">
                  <c:v>NakotaStar</c:v>
                </c:pt>
              </c:strCache>
            </c:strRef>
          </c:tx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COGS!$B$19:$I$19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D07-45F8-A6D6-4DEA06A57D4E}"/>
            </c:ext>
          </c:extLst>
        </c:ser>
        <c:ser>
          <c:idx val="2"/>
          <c:order val="2"/>
          <c:tx>
            <c:strRef>
              <c:f>COGS!$A$20</c:f>
              <c:strCache>
                <c:ptCount val="1"/>
                <c:pt idx="0">
                  <c:v>Product 3</c:v>
                </c:pt>
              </c:strCache>
            </c:strRef>
          </c:tx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COGS!$B$20:$I$20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D07-45F8-A6D6-4DEA06A57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024880"/>
        <c:axId val="217025440"/>
      </c:scatterChart>
      <c:valAx>
        <c:axId val="21702488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txPr>
          <a:bodyPr/>
          <a:lstStyle/>
          <a:p>
            <a:pPr algn="ctr">
              <a:defRPr lang="en-GB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7025440"/>
        <c:crosses val="autoZero"/>
        <c:crossBetween val="midCat"/>
      </c:valAx>
      <c:valAx>
        <c:axId val="217025440"/>
        <c:scaling>
          <c:orientation val="minMax"/>
        </c:scaling>
        <c:delete val="0"/>
        <c:axPos val="l"/>
        <c:majorGridlines/>
        <c:title>
          <c:tx>
            <c:strRef>
              <c:f>COGS!$A$2</c:f>
              <c:strCache>
                <c:ptCount val="1"/>
                <c:pt idx="0">
                  <c:v>COGS (USD)</c:v>
                </c:pt>
              </c:strCache>
            </c:strRef>
          </c:tx>
          <c:layout>
            <c:manualLayout>
              <c:xMode val="edge"/>
              <c:yMode val="edge"/>
              <c:x val="3.5978666783480995E-2"/>
              <c:y val="0.4849238605994296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702488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Annual </a:t>
            </a:r>
            <a:r>
              <a:rPr lang="en-GB" baseline="0"/>
              <a:t>COGS - Top-down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2059071545125"/>
          <c:y val="0.25196143146777311"/>
          <c:w val="0.7115186227590814"/>
          <c:h val="0.51330888296757593"/>
        </c:manualLayout>
      </c:layout>
      <c:scatterChart>
        <c:scatterStyle val="lineMarker"/>
        <c:varyColors val="0"/>
        <c:ser>
          <c:idx val="1"/>
          <c:order val="0"/>
          <c:tx>
            <c:strRef>
              <c:f>COGS!$Q$27</c:f>
              <c:strCache>
                <c:ptCount val="1"/>
                <c:pt idx="0">
                  <c:v>Wonderfoal</c:v>
                </c:pt>
              </c:strCache>
            </c:strRef>
          </c:tx>
          <c:xVal>
            <c:numRef>
              <c:f>COGS!$R$26:$W$26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COGS!$R$27:$W$27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1014999.9999999999</c:v>
                </c:pt>
                <c:pt idx="2">
                  <c:v>2029999.9999999998</c:v>
                </c:pt>
                <c:pt idx="3">
                  <c:v>3045000</c:v>
                </c:pt>
                <c:pt idx="4">
                  <c:v>4059999.9999999995</c:v>
                </c:pt>
                <c:pt idx="5">
                  <c:v>5075000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79-4D91-840B-0B293853EC12}"/>
            </c:ext>
          </c:extLst>
        </c:ser>
        <c:ser>
          <c:idx val="0"/>
          <c:order val="1"/>
          <c:tx>
            <c:strRef>
              <c:f>COGS!$Q$28</c:f>
              <c:strCache>
                <c:ptCount val="1"/>
                <c:pt idx="0">
                  <c:v>NakotaStar</c:v>
                </c:pt>
              </c:strCache>
            </c:strRef>
          </c:tx>
          <c:xVal>
            <c:numRef>
              <c:f>COGS!$R$26:$W$26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COGS!$R$28:$W$28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1950000.0000000002</c:v>
                </c:pt>
                <c:pt idx="3">
                  <c:v>3900000.0000000005</c:v>
                </c:pt>
                <c:pt idx="4">
                  <c:v>7800000.0000000009</c:v>
                </c:pt>
                <c:pt idx="5">
                  <c:v>15600000.000000002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79-4D91-840B-0B293853EC12}"/>
            </c:ext>
          </c:extLst>
        </c:ser>
        <c:ser>
          <c:idx val="2"/>
          <c:order val="2"/>
          <c:tx>
            <c:strRef>
              <c:f>COGS!$Q$29</c:f>
              <c:strCache>
                <c:ptCount val="1"/>
                <c:pt idx="0">
                  <c:v>Product 3</c:v>
                </c:pt>
              </c:strCache>
            </c:strRef>
          </c:tx>
          <c:xVal>
            <c:numRef>
              <c:f>COGS!$R$26:$W$26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COGS!$R$29:$W$29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579-4D91-840B-0B293853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6922816"/>
        <c:axId val="216923376"/>
      </c:scatterChart>
      <c:valAx>
        <c:axId val="216922816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txPr>
          <a:bodyPr/>
          <a:lstStyle/>
          <a:p>
            <a:pPr algn="ctr">
              <a:defRPr lang="en-GB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6923376"/>
        <c:crosses val="autoZero"/>
        <c:crossBetween val="midCat"/>
      </c:valAx>
      <c:valAx>
        <c:axId val="216923376"/>
        <c:scaling>
          <c:orientation val="minMax"/>
        </c:scaling>
        <c:delete val="0"/>
        <c:axPos val="l"/>
        <c:majorGridlines/>
        <c:title>
          <c:tx>
            <c:strRef>
              <c:f>COGS!$A$2</c:f>
              <c:strCache>
                <c:ptCount val="1"/>
                <c:pt idx="0">
                  <c:v>COGS (USD)</c:v>
                </c:pt>
              </c:strCache>
            </c:strRef>
          </c:tx>
          <c:layout>
            <c:manualLayout>
              <c:xMode val="edge"/>
              <c:yMode val="edge"/>
              <c:x val="3.3391740496971953E-2"/>
              <c:y val="0.49071215744853286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6922816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Quarterly</a:t>
            </a:r>
            <a:r>
              <a:rPr lang="en-GB" baseline="0"/>
              <a:t> COGS - Bottom-up (first two years)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2059071545125"/>
          <c:y val="0.25196143146777311"/>
          <c:w val="0.71151862275908129"/>
          <c:h val="0.50982599026266751"/>
        </c:manualLayout>
      </c:layout>
      <c:scatterChart>
        <c:scatterStyle val="lineMarker"/>
        <c:varyColors val="0"/>
        <c:ser>
          <c:idx val="1"/>
          <c:order val="0"/>
          <c:tx>
            <c:strRef>
              <c:f>COGS!$A$49</c:f>
              <c:strCache>
                <c:ptCount val="1"/>
                <c:pt idx="0">
                  <c:v>Wonderfoal</c:v>
                </c:pt>
              </c:strCache>
            </c:strRef>
          </c:tx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COGS!$B$49:$I$49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231140</c:v>
                </c:pt>
                <c:pt idx="5">
                  <c:v>231140</c:v>
                </c:pt>
                <c:pt idx="6">
                  <c:v>231140</c:v>
                </c:pt>
                <c:pt idx="7">
                  <c:v>231140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C4-4529-A1B2-BB8F76010B6F}"/>
            </c:ext>
          </c:extLst>
        </c:ser>
        <c:ser>
          <c:idx val="0"/>
          <c:order val="1"/>
          <c:tx>
            <c:strRef>
              <c:f>COGS!$A$50</c:f>
              <c:strCache>
                <c:ptCount val="1"/>
                <c:pt idx="0">
                  <c:v>NakotaStar</c:v>
                </c:pt>
              </c:strCache>
            </c:strRef>
          </c:tx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COGS!$B$50:$I$50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C4-4529-A1B2-BB8F76010B6F}"/>
            </c:ext>
          </c:extLst>
        </c:ser>
        <c:ser>
          <c:idx val="2"/>
          <c:order val="2"/>
          <c:tx>
            <c:strRef>
              <c:f>COGS!$A$51</c:f>
              <c:strCache>
                <c:ptCount val="1"/>
                <c:pt idx="0">
                  <c:v>Product 3</c:v>
                </c:pt>
              </c:strCache>
            </c:strRef>
          </c:tx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COGS!$B$51:$I$51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8C4-4529-A1B2-BB8F76010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6927296"/>
        <c:axId val="216927856"/>
      </c:scatterChart>
      <c:valAx>
        <c:axId val="216927296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txPr>
          <a:bodyPr/>
          <a:lstStyle/>
          <a:p>
            <a:pPr algn="ctr">
              <a:defRPr lang="en-GB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6927856"/>
        <c:crosses val="autoZero"/>
        <c:crossBetween val="midCat"/>
      </c:valAx>
      <c:valAx>
        <c:axId val="216927856"/>
        <c:scaling>
          <c:orientation val="minMax"/>
        </c:scaling>
        <c:delete val="0"/>
        <c:axPos val="l"/>
        <c:majorGridlines/>
        <c:title>
          <c:tx>
            <c:strRef>
              <c:f>COGS!$A$2</c:f>
              <c:strCache>
                <c:ptCount val="1"/>
                <c:pt idx="0">
                  <c:v>COGS (USD)</c:v>
                </c:pt>
              </c:strCache>
            </c:strRef>
          </c:tx>
          <c:layout>
            <c:manualLayout>
              <c:xMode val="edge"/>
              <c:yMode val="edge"/>
              <c:x val="3.5978666783480995E-2"/>
              <c:y val="0.4849238605994296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6927296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Annual </a:t>
            </a:r>
            <a:r>
              <a:rPr lang="en-GB" baseline="0"/>
              <a:t>COGS - Bottom-up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2059071545125"/>
          <c:y val="0.25196143146777311"/>
          <c:w val="0.7115186227590814"/>
          <c:h val="0.51330888296757593"/>
        </c:manualLayout>
      </c:layout>
      <c:scatterChart>
        <c:scatterStyle val="lineMarker"/>
        <c:varyColors val="0"/>
        <c:ser>
          <c:idx val="1"/>
          <c:order val="0"/>
          <c:tx>
            <c:strRef>
              <c:f>COGS!$Q$76</c:f>
              <c:strCache>
                <c:ptCount val="1"/>
                <c:pt idx="0">
                  <c:v>Wonderfoal</c:v>
                </c:pt>
              </c:strCache>
            </c:strRef>
          </c:tx>
          <c:xVal>
            <c:numRef>
              <c:f>COGS!$R$75:$W$75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COGS!$R$76:$W$76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924560</c:v>
                </c:pt>
                <c:pt idx="2">
                  <c:v>1923084.8000000003</c:v>
                </c:pt>
                <c:pt idx="3">
                  <c:v>3000012.2880000002</c:v>
                </c:pt>
                <c:pt idx="4">
                  <c:v>4160017.0393600008</c:v>
                </c:pt>
                <c:pt idx="5">
                  <c:v>5408022.1511680018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AB-4E08-A8A6-7F88CE9F6637}"/>
            </c:ext>
          </c:extLst>
        </c:ser>
        <c:ser>
          <c:idx val="0"/>
          <c:order val="1"/>
          <c:tx>
            <c:strRef>
              <c:f>COGS!$Q$77</c:f>
              <c:strCache>
                <c:ptCount val="1"/>
                <c:pt idx="0">
                  <c:v>NakotaStar</c:v>
                </c:pt>
              </c:strCache>
            </c:strRef>
          </c:tx>
          <c:xVal>
            <c:numRef>
              <c:f>COGS!$R$75:$W$75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COGS!$R$77:$W$77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1698112.0000000002</c:v>
                </c:pt>
                <c:pt idx="3">
                  <c:v>3532072.9600000004</c:v>
                </c:pt>
                <c:pt idx="4">
                  <c:v>7346711.7568000015</c:v>
                </c:pt>
                <c:pt idx="5">
                  <c:v>15281160.454144005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AB-4E08-A8A6-7F88CE9F6637}"/>
            </c:ext>
          </c:extLst>
        </c:ser>
        <c:ser>
          <c:idx val="2"/>
          <c:order val="2"/>
          <c:tx>
            <c:strRef>
              <c:f>COGS!$Q$78</c:f>
              <c:strCache>
                <c:ptCount val="1"/>
                <c:pt idx="0">
                  <c:v>Product 3</c:v>
                </c:pt>
              </c:strCache>
            </c:strRef>
          </c:tx>
          <c:xVal>
            <c:numRef>
              <c:f>COGS!$R$75:$W$75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COGS!$R$78:$W$78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AB-4E08-A8A6-7F88CE9F6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6931776"/>
        <c:axId val="216932336"/>
      </c:scatterChart>
      <c:valAx>
        <c:axId val="216931776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txPr>
          <a:bodyPr/>
          <a:lstStyle/>
          <a:p>
            <a:pPr algn="ctr">
              <a:defRPr lang="en-GB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6932336"/>
        <c:crosses val="autoZero"/>
        <c:crossBetween val="midCat"/>
      </c:valAx>
      <c:valAx>
        <c:axId val="216932336"/>
        <c:scaling>
          <c:orientation val="minMax"/>
        </c:scaling>
        <c:delete val="0"/>
        <c:axPos val="l"/>
        <c:majorGridlines/>
        <c:title>
          <c:tx>
            <c:strRef>
              <c:f>COGS!$A$2</c:f>
              <c:strCache>
                <c:ptCount val="1"/>
                <c:pt idx="0">
                  <c:v>COGS (USD)</c:v>
                </c:pt>
              </c:strCache>
            </c:strRef>
          </c:tx>
          <c:layout>
            <c:manualLayout>
              <c:xMode val="edge"/>
              <c:yMode val="edge"/>
              <c:x val="3.3391740496971953E-2"/>
              <c:y val="0.49071215744853286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6931776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Quarterly Payroll Costs (first two years)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Payroll!$A$43</c:f>
              <c:strCache>
                <c:ptCount val="1"/>
                <c:pt idx="0">
                  <c:v>Founders  (first year)</c:v>
                </c:pt>
              </c:strCache>
            </c:strRef>
          </c:tx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Payroll!$B$43:$I$43</c:f>
              <c:numCache>
                <c:formatCode>_-* #,##0_-;\-* #,##0_-;_-* "-"??_-;_-@_-</c:formatCode>
                <c:ptCount val="8"/>
                <c:pt idx="0">
                  <c:v>34750</c:v>
                </c:pt>
                <c:pt idx="1">
                  <c:v>34750</c:v>
                </c:pt>
                <c:pt idx="2">
                  <c:v>34750</c:v>
                </c:pt>
                <c:pt idx="3">
                  <c:v>34750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1B-46B4-9407-701B7D119369}"/>
            </c:ext>
          </c:extLst>
        </c:ser>
        <c:ser>
          <c:idx val="1"/>
          <c:order val="1"/>
          <c:tx>
            <c:strRef>
              <c:f>Payroll!$A$44</c:f>
              <c:strCache>
                <c:ptCount val="1"/>
                <c:pt idx="0">
                  <c:v>Founders (2021 onwards)</c:v>
                </c:pt>
              </c:strCache>
            </c:strRef>
          </c:tx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Payroll!$B$44:$I$44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118150</c:v>
                </c:pt>
                <c:pt idx="5">
                  <c:v>118150</c:v>
                </c:pt>
                <c:pt idx="6">
                  <c:v>118150</c:v>
                </c:pt>
                <c:pt idx="7">
                  <c:v>118150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41B-46B4-9407-701B7D119369}"/>
            </c:ext>
          </c:extLst>
        </c:ser>
        <c:ser>
          <c:idx val="2"/>
          <c:order val="2"/>
          <c:tx>
            <c:strRef>
              <c:f>Payroll!$A$45</c:f>
              <c:strCache>
                <c:ptCount val="1"/>
                <c:pt idx="0">
                  <c:v>Engineers</c:v>
                </c:pt>
              </c:strCache>
            </c:strRef>
          </c:tx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Payroll!$B$45:$I$45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27800</c:v>
                </c:pt>
                <c:pt idx="3">
                  <c:v>27800</c:v>
                </c:pt>
                <c:pt idx="4">
                  <c:v>83400</c:v>
                </c:pt>
                <c:pt idx="5">
                  <c:v>83400</c:v>
                </c:pt>
                <c:pt idx="6">
                  <c:v>111200</c:v>
                </c:pt>
                <c:pt idx="7">
                  <c:v>139000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41B-46B4-9407-701B7D119369}"/>
            </c:ext>
          </c:extLst>
        </c:ser>
        <c:ser>
          <c:idx val="3"/>
          <c:order val="3"/>
          <c:tx>
            <c:strRef>
              <c:f>Payroll!$A$46</c:f>
              <c:strCache>
                <c:ptCount val="1"/>
                <c:pt idx="0">
                  <c:v>Sales</c:v>
                </c:pt>
              </c:strCache>
            </c:strRef>
          </c:tx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Payroll!$B$46:$I$46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27800</c:v>
                </c:pt>
                <c:pt idx="4">
                  <c:v>55600</c:v>
                </c:pt>
                <c:pt idx="5">
                  <c:v>83400</c:v>
                </c:pt>
                <c:pt idx="6">
                  <c:v>83400</c:v>
                </c:pt>
                <c:pt idx="7">
                  <c:v>139000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41B-46B4-9407-701B7D119369}"/>
            </c:ext>
          </c:extLst>
        </c:ser>
        <c:ser>
          <c:idx val="4"/>
          <c:order val="4"/>
          <c:tx>
            <c:strRef>
              <c:f>Payroll!$A$47</c:f>
              <c:strCache>
                <c:ptCount val="1"/>
                <c:pt idx="0">
                  <c:v>Admin</c:v>
                </c:pt>
              </c:strCache>
            </c:strRef>
          </c:tx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Payroll!$B$47:$I$47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17375</c:v>
                </c:pt>
                <c:pt idx="5">
                  <c:v>17375</c:v>
                </c:pt>
                <c:pt idx="6">
                  <c:v>34750</c:v>
                </c:pt>
                <c:pt idx="7">
                  <c:v>52125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41B-46B4-9407-701B7D119369}"/>
            </c:ext>
          </c:extLst>
        </c:ser>
        <c:ser>
          <c:idx val="5"/>
          <c:order val="5"/>
          <c:tx>
            <c:strRef>
              <c:f>Payroll!$A$48</c:f>
              <c:strCache>
                <c:ptCount val="1"/>
                <c:pt idx="0">
                  <c:v>Finance</c:v>
                </c:pt>
              </c:strCache>
            </c:strRef>
          </c:tx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Payroll!$B$48:$I$48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38225</c:v>
                </c:pt>
                <c:pt idx="6">
                  <c:v>38225</c:v>
                </c:pt>
                <c:pt idx="7">
                  <c:v>38225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41B-46B4-9407-701B7D119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402144"/>
        <c:axId val="217402704"/>
      </c:scatterChart>
      <c:valAx>
        <c:axId val="217402144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7402704"/>
        <c:crosses val="autoZero"/>
        <c:crossBetween val="midCat"/>
      </c:valAx>
      <c:valAx>
        <c:axId val="217402704"/>
        <c:scaling>
          <c:orientation val="minMax"/>
        </c:scaling>
        <c:delete val="0"/>
        <c:axPos val="l"/>
        <c:majorGridlines/>
        <c:title>
          <c:tx>
            <c:strRef>
              <c:f>Payroll!$A$2</c:f>
              <c:strCache>
                <c:ptCount val="1"/>
                <c:pt idx="0">
                  <c:v>Payroll (USD)</c:v>
                </c:pt>
              </c:strCache>
            </c:strRef>
          </c:tx>
          <c:layout>
            <c:manualLayout>
              <c:xMode val="edge"/>
              <c:yMode val="edge"/>
              <c:x val="3.0555555555555555E-2"/>
              <c:y val="0.26839883373780049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7402144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Annual Payroll</a:t>
            </a:r>
            <a:r>
              <a:rPr lang="en-US" baseline="0"/>
              <a:t> Costs by Staff Type</a:t>
            </a:r>
            <a:endParaRPr lang="en-US"/>
          </a:p>
        </c:rich>
      </c:tx>
      <c:overlay val="0"/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Payroll!$Q$26</c:f>
              <c:strCache>
                <c:ptCount val="1"/>
                <c:pt idx="0">
                  <c:v>Founders  (first year)</c:v>
                </c:pt>
              </c:strCache>
            </c:strRef>
          </c:tx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Payroll!$R$26:$W$26</c:f>
              <c:numCache>
                <c:formatCode>_-* #,##0_-;\-* #,##0_-;_-* "-"??_-;_-@_-</c:formatCode>
                <c:ptCount val="6"/>
                <c:pt idx="0">
                  <c:v>139000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3A-4B50-87BE-94C98D075779}"/>
            </c:ext>
          </c:extLst>
        </c:ser>
        <c:ser>
          <c:idx val="1"/>
          <c:order val="1"/>
          <c:tx>
            <c:strRef>
              <c:f>Payroll!$Q$27</c:f>
              <c:strCache>
                <c:ptCount val="1"/>
                <c:pt idx="0">
                  <c:v>Founders (2021 onwards)</c:v>
                </c:pt>
              </c:strCache>
            </c:strRef>
          </c:tx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Payroll!$R$27:$W$27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472600</c:v>
                </c:pt>
                <c:pt idx="2">
                  <c:v>472600</c:v>
                </c:pt>
                <c:pt idx="3">
                  <c:v>472600</c:v>
                </c:pt>
                <c:pt idx="4">
                  <c:v>472600</c:v>
                </c:pt>
                <c:pt idx="5">
                  <c:v>472600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3A-4B50-87BE-94C98D075779}"/>
            </c:ext>
          </c:extLst>
        </c:ser>
        <c:ser>
          <c:idx val="2"/>
          <c:order val="2"/>
          <c:tx>
            <c:strRef>
              <c:f>Payroll!$Q$28</c:f>
              <c:strCache>
                <c:ptCount val="1"/>
                <c:pt idx="0">
                  <c:v>Engineers</c:v>
                </c:pt>
              </c:strCache>
            </c:strRef>
          </c:tx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Payroll!$R$28:$W$28</c:f>
              <c:numCache>
                <c:formatCode>_-* #,##0_-;\-* #,##0_-;_-* "-"??_-;_-@_-</c:formatCode>
                <c:ptCount val="6"/>
                <c:pt idx="0">
                  <c:v>55600</c:v>
                </c:pt>
                <c:pt idx="1">
                  <c:v>417000</c:v>
                </c:pt>
                <c:pt idx="2">
                  <c:v>667200</c:v>
                </c:pt>
                <c:pt idx="3">
                  <c:v>889600</c:v>
                </c:pt>
                <c:pt idx="4">
                  <c:v>1112000</c:v>
                </c:pt>
                <c:pt idx="5">
                  <c:v>1334400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3A-4B50-87BE-94C98D075779}"/>
            </c:ext>
          </c:extLst>
        </c:ser>
        <c:ser>
          <c:idx val="3"/>
          <c:order val="3"/>
          <c:tx>
            <c:strRef>
              <c:f>Payroll!$Q$29</c:f>
              <c:strCache>
                <c:ptCount val="1"/>
                <c:pt idx="0">
                  <c:v>Sales</c:v>
                </c:pt>
              </c:strCache>
            </c:strRef>
          </c:tx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Payroll!$R$29:$W$29</c:f>
              <c:numCache>
                <c:formatCode>_-* #,##0_-;\-* #,##0_-;_-* "-"??_-;_-@_-</c:formatCode>
                <c:ptCount val="6"/>
                <c:pt idx="0">
                  <c:v>27800</c:v>
                </c:pt>
                <c:pt idx="1">
                  <c:v>361400</c:v>
                </c:pt>
                <c:pt idx="2">
                  <c:v>667200</c:v>
                </c:pt>
                <c:pt idx="3">
                  <c:v>1223200</c:v>
                </c:pt>
                <c:pt idx="4">
                  <c:v>1556800</c:v>
                </c:pt>
                <c:pt idx="5">
                  <c:v>1668000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3A-4B50-87BE-94C98D075779}"/>
            </c:ext>
          </c:extLst>
        </c:ser>
        <c:ser>
          <c:idx val="4"/>
          <c:order val="4"/>
          <c:tx>
            <c:strRef>
              <c:f>Payroll!$Q$30</c:f>
              <c:strCache>
                <c:ptCount val="1"/>
                <c:pt idx="0">
                  <c:v>Admin</c:v>
                </c:pt>
              </c:strCache>
            </c:strRef>
          </c:tx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Payroll!$R$30:$W$30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121625</c:v>
                </c:pt>
                <c:pt idx="2">
                  <c:v>278000</c:v>
                </c:pt>
                <c:pt idx="3">
                  <c:v>486500</c:v>
                </c:pt>
                <c:pt idx="4">
                  <c:v>556000</c:v>
                </c:pt>
                <c:pt idx="5">
                  <c:v>625500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3A-4B50-87BE-94C98D075779}"/>
            </c:ext>
          </c:extLst>
        </c:ser>
        <c:ser>
          <c:idx val="5"/>
          <c:order val="5"/>
          <c:tx>
            <c:strRef>
              <c:f>Payroll!$Q$31</c:f>
              <c:strCache>
                <c:ptCount val="1"/>
                <c:pt idx="0">
                  <c:v>Finance</c:v>
                </c:pt>
              </c:strCache>
            </c:strRef>
          </c:tx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Payroll!$R$31:$W$31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114675</c:v>
                </c:pt>
                <c:pt idx="2">
                  <c:v>305800</c:v>
                </c:pt>
                <c:pt idx="3">
                  <c:v>458700</c:v>
                </c:pt>
                <c:pt idx="4">
                  <c:v>458700</c:v>
                </c:pt>
                <c:pt idx="5">
                  <c:v>458700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F3A-4B50-87BE-94C98D075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408304"/>
        <c:axId val="217408864"/>
      </c:areaChart>
      <c:dateAx>
        <c:axId val="217408304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7408864"/>
        <c:crosses val="autoZero"/>
        <c:auto val="1"/>
        <c:lblOffset val="100"/>
        <c:baseTimeUnit val="years"/>
      </c:dateAx>
      <c:valAx>
        <c:axId val="217408864"/>
        <c:scaling>
          <c:orientation val="minMax"/>
        </c:scaling>
        <c:delete val="0"/>
        <c:axPos val="l"/>
        <c:majorGridlines/>
        <c:title>
          <c:tx>
            <c:strRef>
              <c:f>'Top-Down'!$A$2</c:f>
              <c:strCache>
                <c:ptCount val="1"/>
                <c:pt idx="0">
                  <c:v>Revenues (USD)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7408304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Operating Costs</a:t>
            </a:r>
            <a:r>
              <a:rPr lang="en-GB" sz="1200" b="0" baseline="0"/>
              <a:t> (excluding payroll)</a:t>
            </a:r>
            <a:endParaRPr lang="en-GB" b="0"/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'Other Operating Expenses'!$Q$26</c:f>
              <c:strCache>
                <c:ptCount val="1"/>
                <c:pt idx="0">
                  <c:v>Initial Startup costs</c:v>
                </c:pt>
              </c:strCache>
            </c:strRef>
          </c:tx>
          <c:invertIfNegative val="0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Expenses'!$R$26:$W$26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E0-44C9-80CB-014028382D8F}"/>
            </c:ext>
          </c:extLst>
        </c:ser>
        <c:ser>
          <c:idx val="1"/>
          <c:order val="1"/>
          <c:tx>
            <c:strRef>
              <c:f>'Other Operating Expenses'!$Q$27</c:f>
              <c:strCache>
                <c:ptCount val="1"/>
                <c:pt idx="0">
                  <c:v>Professional Services</c:v>
                </c:pt>
              </c:strCache>
            </c:strRef>
          </c:tx>
          <c:invertIfNegative val="0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Expenses'!$R$27:$W$27</c:f>
              <c:numCache>
                <c:formatCode>_-* #,##0_-;\-* #,##0_-;_-* "-"??_-;_-@_-</c:formatCode>
                <c:ptCount val="6"/>
                <c:pt idx="0">
                  <c:v>20000</c:v>
                </c:pt>
                <c:pt idx="1">
                  <c:v>23000</c:v>
                </c:pt>
                <c:pt idx="2">
                  <c:v>26449.999999999996</c:v>
                </c:pt>
                <c:pt idx="3">
                  <c:v>30417.499999999989</c:v>
                </c:pt>
                <c:pt idx="4">
                  <c:v>34980.124999999985</c:v>
                </c:pt>
                <c:pt idx="5">
                  <c:v>40227.143749999988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E0-44C9-80CB-014028382D8F}"/>
            </c:ext>
          </c:extLst>
        </c:ser>
        <c:ser>
          <c:idx val="2"/>
          <c:order val="2"/>
          <c:tx>
            <c:strRef>
              <c:f>'Other Operating Expenses'!$Q$28</c:f>
              <c:strCache>
                <c:ptCount val="1"/>
                <c:pt idx="0">
                  <c:v>Office</c:v>
                </c:pt>
              </c:strCache>
            </c:strRef>
          </c:tx>
          <c:invertIfNegative val="0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Expenses'!$R$28:$W$28</c:f>
              <c:numCache>
                <c:formatCode>_-* #,##0_-;\-* #,##0_-;_-* "-"??_-;_-@_-</c:formatCode>
                <c:ptCount val="6"/>
                <c:pt idx="0">
                  <c:v>25000</c:v>
                </c:pt>
                <c:pt idx="1">
                  <c:v>27500.000000000004</c:v>
                </c:pt>
                <c:pt idx="2">
                  <c:v>30250.000000000004</c:v>
                </c:pt>
                <c:pt idx="3">
                  <c:v>33275.000000000007</c:v>
                </c:pt>
                <c:pt idx="4">
                  <c:v>36602.500000000007</c:v>
                </c:pt>
                <c:pt idx="5">
                  <c:v>40262.750000000015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E0-44C9-80CB-014028382D8F}"/>
            </c:ext>
          </c:extLst>
        </c:ser>
        <c:ser>
          <c:idx val="3"/>
          <c:order val="3"/>
          <c:tx>
            <c:strRef>
              <c:f>'Other Operating Expenses'!$Q$29</c:f>
              <c:strCache>
                <c:ptCount val="1"/>
                <c:pt idx="0">
                  <c:v>R&amp;D Expenses</c:v>
                </c:pt>
              </c:strCache>
            </c:strRef>
          </c:tx>
          <c:invertIfNegative val="0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Expenses'!$R$29:$W$29</c:f>
              <c:numCache>
                <c:formatCode>_-* #,##0_-;\-* #,##0_-;_-* "-"??_-;_-@_-</c:formatCode>
                <c:ptCount val="6"/>
                <c:pt idx="0">
                  <c:v>90000</c:v>
                </c:pt>
                <c:pt idx="1">
                  <c:v>162000</c:v>
                </c:pt>
                <c:pt idx="2">
                  <c:v>291600</c:v>
                </c:pt>
                <c:pt idx="3">
                  <c:v>524880.00000000012</c:v>
                </c:pt>
                <c:pt idx="4">
                  <c:v>944784.00000000023</c:v>
                </c:pt>
                <c:pt idx="5">
                  <c:v>1700611.2000000004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E0-44C9-80CB-014028382D8F}"/>
            </c:ext>
          </c:extLst>
        </c:ser>
        <c:ser>
          <c:idx val="4"/>
          <c:order val="4"/>
          <c:tx>
            <c:strRef>
              <c:f>'Other Operating Expenses'!$Q$30</c:f>
              <c:strCache>
                <c:ptCount val="1"/>
                <c:pt idx="0">
                  <c:v>Sales and Marketing</c:v>
                </c:pt>
              </c:strCache>
            </c:strRef>
          </c:tx>
          <c:invertIfNegative val="0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Expenses'!$R$30:$W$30</c:f>
              <c:numCache>
                <c:formatCode>_-* #,##0_-;\-* #,##0_-;_-* "-"??_-;_-@_-</c:formatCode>
                <c:ptCount val="6"/>
                <c:pt idx="0">
                  <c:v>30000</c:v>
                </c:pt>
                <c:pt idx="1">
                  <c:v>54000</c:v>
                </c:pt>
                <c:pt idx="2">
                  <c:v>97200</c:v>
                </c:pt>
                <c:pt idx="3">
                  <c:v>174960.00000000003</c:v>
                </c:pt>
                <c:pt idx="4">
                  <c:v>314928.00000000006</c:v>
                </c:pt>
                <c:pt idx="5">
                  <c:v>566870.40000000014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E0-44C9-80CB-014028382D8F}"/>
            </c:ext>
          </c:extLst>
        </c:ser>
        <c:ser>
          <c:idx val="5"/>
          <c:order val="5"/>
          <c:tx>
            <c:strRef>
              <c:f>'Other Operating Expenses'!$Q$31</c:f>
              <c:strCache>
                <c:ptCount val="1"/>
                <c:pt idx="0">
                  <c:v>Travel</c:v>
                </c:pt>
              </c:strCache>
            </c:strRef>
          </c:tx>
          <c:invertIfNegative val="0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Expenses'!$R$31:$W$31</c:f>
              <c:numCache>
                <c:formatCode>_-* #,##0_-;\-* #,##0_-;_-* "-"??_-;_-@_-</c:formatCode>
                <c:ptCount val="6"/>
                <c:pt idx="0">
                  <c:v>20000</c:v>
                </c:pt>
                <c:pt idx="1">
                  <c:v>24000</c:v>
                </c:pt>
                <c:pt idx="2">
                  <c:v>28800</c:v>
                </c:pt>
                <c:pt idx="3">
                  <c:v>34560</c:v>
                </c:pt>
                <c:pt idx="4">
                  <c:v>41472</c:v>
                </c:pt>
                <c:pt idx="5">
                  <c:v>49766.399999999994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7E0-44C9-80CB-014028382D8F}"/>
            </c:ext>
          </c:extLst>
        </c:ser>
        <c:ser>
          <c:idx val="6"/>
          <c:order val="6"/>
          <c:tx>
            <c:strRef>
              <c:f>'Other Operating Expenses'!$Q$32</c:f>
              <c:strCache>
                <c:ptCount val="1"/>
                <c:pt idx="0">
                  <c:v>Administrative</c:v>
                </c:pt>
              </c:strCache>
            </c:strRef>
          </c:tx>
          <c:invertIfNegative val="0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Expenses'!$R$32:$W$32</c:f>
              <c:numCache>
                <c:formatCode>_-* #,##0_-;\-* #,##0_-;_-* "-"??_-;_-@_-</c:formatCode>
                <c:ptCount val="6"/>
                <c:pt idx="0">
                  <c:v>5000</c:v>
                </c:pt>
                <c:pt idx="1">
                  <c:v>5500</c:v>
                </c:pt>
                <c:pt idx="2">
                  <c:v>6050.0000000000009</c:v>
                </c:pt>
                <c:pt idx="3">
                  <c:v>6655.0000000000018</c:v>
                </c:pt>
                <c:pt idx="4">
                  <c:v>7320.5000000000018</c:v>
                </c:pt>
                <c:pt idx="5">
                  <c:v>8052.5500000000029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E0-44C9-80CB-014028382D8F}"/>
            </c:ext>
          </c:extLst>
        </c:ser>
        <c:ser>
          <c:idx val="7"/>
          <c:order val="7"/>
          <c:tx>
            <c:strRef>
              <c:f>'Other Operating Expenses'!$Q$33</c:f>
              <c:strCache>
                <c:ptCount val="1"/>
                <c:pt idx="0">
                  <c:v>Other costs</c:v>
                </c:pt>
              </c:strCache>
            </c:strRef>
          </c:tx>
          <c:invertIfNegative val="0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Expenses'!$R$33:$W$33</c:f>
              <c:numCache>
                <c:formatCode>_-* #,##0_-;\-* #,##0_-;_-* "-"??_-;_-@_-</c:formatCode>
                <c:ptCount val="6"/>
                <c:pt idx="0">
                  <c:v>7000</c:v>
                </c:pt>
                <c:pt idx="1">
                  <c:v>7700.0000000000009</c:v>
                </c:pt>
                <c:pt idx="2">
                  <c:v>8470.0000000000018</c:v>
                </c:pt>
                <c:pt idx="3">
                  <c:v>9317.0000000000036</c:v>
                </c:pt>
                <c:pt idx="4">
                  <c:v>10248.700000000003</c:v>
                </c:pt>
                <c:pt idx="5">
                  <c:v>11273.570000000003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E0-44C9-80CB-014028382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3"/>
        <c:overlap val="100"/>
        <c:axId val="217415584"/>
        <c:axId val="217811488"/>
      </c:barChart>
      <c:catAx>
        <c:axId val="217415584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7811488"/>
        <c:crosses val="autoZero"/>
        <c:auto val="0"/>
        <c:lblAlgn val="ctr"/>
        <c:lblOffset val="100"/>
        <c:noMultiLvlLbl val="0"/>
      </c:catAx>
      <c:valAx>
        <c:axId val="2178114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74155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Quarterly Operating Costs (first two years)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979418197725284"/>
          <c:y val="0.30610523146972218"/>
          <c:w val="0.72775437445319335"/>
          <c:h val="0.31691361160500092"/>
        </c:manualLayout>
      </c:layout>
      <c:scatterChart>
        <c:scatterStyle val="lineMarker"/>
        <c:varyColors val="0"/>
        <c:ser>
          <c:idx val="0"/>
          <c:order val="0"/>
          <c:tx>
            <c:strRef>
              <c:f>'Other Operating Expenses'!$A$19</c:f>
              <c:strCache>
                <c:ptCount val="1"/>
                <c:pt idx="0">
                  <c:v>Initial Startup costs</c:v>
                </c:pt>
              </c:strCache>
            </c:strRef>
          </c:tx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Expenses'!$B$19:$I$19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3B-40A1-9099-92FA92C29E3D}"/>
            </c:ext>
          </c:extLst>
        </c:ser>
        <c:ser>
          <c:idx val="1"/>
          <c:order val="1"/>
          <c:tx>
            <c:strRef>
              <c:f>'Other Operating Expenses'!$A$20</c:f>
              <c:strCache>
                <c:ptCount val="1"/>
                <c:pt idx="0">
                  <c:v>Professional Services</c:v>
                </c:pt>
              </c:strCache>
            </c:strRef>
          </c:tx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Expenses'!$B$20:$I$20</c:f>
              <c:numCache>
                <c:formatCode>_-* #,##0_-;\-* #,##0_-;_-* "-"??_-;_-@_-</c:formatCode>
                <c:ptCount val="8"/>
                <c:pt idx="0">
                  <c:v>5000</c:v>
                </c:pt>
                <c:pt idx="1">
                  <c:v>5000</c:v>
                </c:pt>
                <c:pt idx="2">
                  <c:v>5000</c:v>
                </c:pt>
                <c:pt idx="3">
                  <c:v>5000</c:v>
                </c:pt>
                <c:pt idx="4">
                  <c:v>5750</c:v>
                </c:pt>
                <c:pt idx="5">
                  <c:v>5750</c:v>
                </c:pt>
                <c:pt idx="6">
                  <c:v>5750</c:v>
                </c:pt>
                <c:pt idx="7">
                  <c:v>5750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3B-40A1-9099-92FA92C29E3D}"/>
            </c:ext>
          </c:extLst>
        </c:ser>
        <c:ser>
          <c:idx val="2"/>
          <c:order val="2"/>
          <c:tx>
            <c:strRef>
              <c:f>'Other Operating Expenses'!$A$21</c:f>
              <c:strCache>
                <c:ptCount val="1"/>
                <c:pt idx="0">
                  <c:v>Office</c:v>
                </c:pt>
              </c:strCache>
            </c:strRef>
          </c:tx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Expenses'!$B$21:$I$21</c:f>
              <c:numCache>
                <c:formatCode>_-* #,##0_-;\-* #,##0_-;_-* "-"??_-;_-@_-</c:formatCode>
                <c:ptCount val="8"/>
                <c:pt idx="0">
                  <c:v>6250</c:v>
                </c:pt>
                <c:pt idx="1">
                  <c:v>6250</c:v>
                </c:pt>
                <c:pt idx="2">
                  <c:v>6250</c:v>
                </c:pt>
                <c:pt idx="3">
                  <c:v>6250</c:v>
                </c:pt>
                <c:pt idx="4">
                  <c:v>6875.0000000000009</c:v>
                </c:pt>
                <c:pt idx="5">
                  <c:v>6875.0000000000009</c:v>
                </c:pt>
                <c:pt idx="6">
                  <c:v>6875.0000000000009</c:v>
                </c:pt>
                <c:pt idx="7">
                  <c:v>6875.0000000000009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33B-40A1-9099-92FA92C29E3D}"/>
            </c:ext>
          </c:extLst>
        </c:ser>
        <c:ser>
          <c:idx val="3"/>
          <c:order val="3"/>
          <c:tx>
            <c:strRef>
              <c:f>'Other Operating Expenses'!$A$22</c:f>
              <c:strCache>
                <c:ptCount val="1"/>
                <c:pt idx="0">
                  <c:v>R&amp;D Expenses</c:v>
                </c:pt>
              </c:strCache>
            </c:strRef>
          </c:tx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Expenses'!$B$22:$I$22</c:f>
              <c:numCache>
                <c:formatCode>_-* #,##0_-;\-* #,##0_-;_-* "-"??_-;_-@_-</c:formatCode>
                <c:ptCount val="8"/>
                <c:pt idx="0">
                  <c:v>22500</c:v>
                </c:pt>
                <c:pt idx="1">
                  <c:v>22500</c:v>
                </c:pt>
                <c:pt idx="2">
                  <c:v>22500</c:v>
                </c:pt>
                <c:pt idx="3">
                  <c:v>22500</c:v>
                </c:pt>
                <c:pt idx="4">
                  <c:v>40500</c:v>
                </c:pt>
                <c:pt idx="5">
                  <c:v>40500</c:v>
                </c:pt>
                <c:pt idx="6">
                  <c:v>40500</c:v>
                </c:pt>
                <c:pt idx="7">
                  <c:v>40500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33B-40A1-9099-92FA92C29E3D}"/>
            </c:ext>
          </c:extLst>
        </c:ser>
        <c:ser>
          <c:idx val="4"/>
          <c:order val="4"/>
          <c:tx>
            <c:strRef>
              <c:f>'Other Operating Expenses'!$A$23</c:f>
              <c:strCache>
                <c:ptCount val="1"/>
                <c:pt idx="0">
                  <c:v>Sales and Marketing</c:v>
                </c:pt>
              </c:strCache>
            </c:strRef>
          </c:tx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Expenses'!$B$23:$I$23</c:f>
              <c:numCache>
                <c:formatCode>_-* #,##0_-;\-* #,##0_-;_-* "-"??_-;_-@_-</c:formatCode>
                <c:ptCount val="8"/>
                <c:pt idx="0">
                  <c:v>7500</c:v>
                </c:pt>
                <c:pt idx="1">
                  <c:v>7500</c:v>
                </c:pt>
                <c:pt idx="2">
                  <c:v>7500</c:v>
                </c:pt>
                <c:pt idx="3">
                  <c:v>7500</c:v>
                </c:pt>
                <c:pt idx="4">
                  <c:v>13500</c:v>
                </c:pt>
                <c:pt idx="5">
                  <c:v>13500</c:v>
                </c:pt>
                <c:pt idx="6">
                  <c:v>13500</c:v>
                </c:pt>
                <c:pt idx="7">
                  <c:v>13500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33B-40A1-9099-92FA92C29E3D}"/>
            </c:ext>
          </c:extLst>
        </c:ser>
        <c:ser>
          <c:idx val="5"/>
          <c:order val="5"/>
          <c:tx>
            <c:strRef>
              <c:f>'Other Operating Expenses'!$A$24</c:f>
              <c:strCache>
                <c:ptCount val="1"/>
                <c:pt idx="0">
                  <c:v>Travel</c:v>
                </c:pt>
              </c:strCache>
            </c:strRef>
          </c:tx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Expenses'!$B$24:$I$24</c:f>
              <c:numCache>
                <c:formatCode>_-* #,##0_-;\-* #,##0_-;_-* "-"??_-;_-@_-</c:formatCode>
                <c:ptCount val="8"/>
                <c:pt idx="0">
                  <c:v>5000</c:v>
                </c:pt>
                <c:pt idx="1">
                  <c:v>5000</c:v>
                </c:pt>
                <c:pt idx="2">
                  <c:v>5000</c:v>
                </c:pt>
                <c:pt idx="3">
                  <c:v>5000</c:v>
                </c:pt>
                <c:pt idx="4">
                  <c:v>6000</c:v>
                </c:pt>
                <c:pt idx="5">
                  <c:v>6000</c:v>
                </c:pt>
                <c:pt idx="6">
                  <c:v>6000</c:v>
                </c:pt>
                <c:pt idx="7">
                  <c:v>6000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33B-40A1-9099-92FA92C29E3D}"/>
            </c:ext>
          </c:extLst>
        </c:ser>
        <c:ser>
          <c:idx val="6"/>
          <c:order val="6"/>
          <c:tx>
            <c:strRef>
              <c:f>'Other Operating Expenses'!$A$25</c:f>
              <c:strCache>
                <c:ptCount val="1"/>
                <c:pt idx="0">
                  <c:v>Administrative</c:v>
                </c:pt>
              </c:strCache>
            </c:strRef>
          </c:tx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Expenses'!$B$25:$I$25</c:f>
              <c:numCache>
                <c:formatCode>_-* #,##0_-;\-* #,##0_-;_-* "-"??_-;_-@_-</c:formatCode>
                <c:ptCount val="8"/>
                <c:pt idx="0">
                  <c:v>1250</c:v>
                </c:pt>
                <c:pt idx="1">
                  <c:v>1250</c:v>
                </c:pt>
                <c:pt idx="2">
                  <c:v>1250</c:v>
                </c:pt>
                <c:pt idx="3">
                  <c:v>1250</c:v>
                </c:pt>
                <c:pt idx="4">
                  <c:v>1375</c:v>
                </c:pt>
                <c:pt idx="5">
                  <c:v>1375</c:v>
                </c:pt>
                <c:pt idx="6">
                  <c:v>1375</c:v>
                </c:pt>
                <c:pt idx="7">
                  <c:v>1375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33B-40A1-9099-92FA92C29E3D}"/>
            </c:ext>
          </c:extLst>
        </c:ser>
        <c:ser>
          <c:idx val="7"/>
          <c:order val="7"/>
          <c:tx>
            <c:strRef>
              <c:f>'Other Operating Expenses'!$A$26</c:f>
              <c:strCache>
                <c:ptCount val="1"/>
                <c:pt idx="0">
                  <c:v>Other costs</c:v>
                </c:pt>
              </c:strCache>
            </c:strRef>
          </c:tx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Expenses'!$B$26:$I$26</c:f>
              <c:numCache>
                <c:formatCode>_-* #,##0_-;\-* #,##0_-;_-* "-"??_-;_-@_-</c:formatCode>
                <c:ptCount val="8"/>
                <c:pt idx="0">
                  <c:v>1750</c:v>
                </c:pt>
                <c:pt idx="1">
                  <c:v>1750</c:v>
                </c:pt>
                <c:pt idx="2">
                  <c:v>1750</c:v>
                </c:pt>
                <c:pt idx="3">
                  <c:v>1750</c:v>
                </c:pt>
                <c:pt idx="4">
                  <c:v>1925.0000000000002</c:v>
                </c:pt>
                <c:pt idx="5">
                  <c:v>1925.0000000000002</c:v>
                </c:pt>
                <c:pt idx="6">
                  <c:v>1925.0000000000002</c:v>
                </c:pt>
                <c:pt idx="7">
                  <c:v>1925.0000000000002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33B-40A1-9099-92FA92C29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818208"/>
        <c:axId val="217818768"/>
      </c:scatterChart>
      <c:valAx>
        <c:axId val="217818208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7818768"/>
        <c:crosses val="autoZero"/>
        <c:crossBetween val="midCat"/>
      </c:valAx>
      <c:valAx>
        <c:axId val="217818768"/>
        <c:scaling>
          <c:orientation val="minMax"/>
        </c:scaling>
        <c:delete val="0"/>
        <c:axPos val="l"/>
        <c:majorGridlines/>
        <c:title>
          <c:tx>
            <c:strRef>
              <c:f>'Other Operating Expenses'!$A$2</c:f>
              <c:strCache>
                <c:ptCount val="1"/>
                <c:pt idx="0">
                  <c:v>Operating Expenses (USD)</c:v>
                </c:pt>
              </c:strCache>
            </c:strRef>
          </c:tx>
          <c:layout>
            <c:manualLayout>
              <c:xMode val="edge"/>
              <c:yMode val="edge"/>
              <c:x val="3.3333333333333333E-2"/>
              <c:y val="0.2970725971081572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7818208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layout>
        <c:manualLayout>
          <c:xMode val="edge"/>
          <c:yMode val="edge"/>
          <c:x val="0.19744291338582678"/>
          <c:y val="0.73318206191967938"/>
          <c:w val="0.76622528433945769"/>
          <c:h val="0.23814410295487257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Capital Expenditure - Impact on Cashflow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979418197725284"/>
          <c:y val="0.28404665048797945"/>
          <c:w val="0.7796502624671916"/>
          <c:h val="0.417008526108149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'Capital Expenses'!$Q$42</c:f>
              <c:strCache>
                <c:ptCount val="1"/>
                <c:pt idx="0">
                  <c:v>Lab Tools</c:v>
                </c:pt>
              </c:strCache>
            </c:strRef>
          </c:tx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Expenses'!$R$42:$W$42</c:f>
              <c:numCache>
                <c:formatCode>_-* #,##0_-;\-* #,##0_-;_-* "-"??_-;_-@_-</c:formatCode>
                <c:ptCount val="6"/>
                <c:pt idx="0">
                  <c:v>6000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D4-4C48-9F80-23E1C97CBCCA}"/>
            </c:ext>
          </c:extLst>
        </c:ser>
        <c:ser>
          <c:idx val="1"/>
          <c:order val="1"/>
          <c:tx>
            <c:strRef>
              <c:f>'Capital Expenses'!$Q$43</c:f>
              <c:strCache>
                <c:ptCount val="1"/>
                <c:pt idx="0">
                  <c:v>Product Testing Unit</c:v>
                </c:pt>
              </c:strCache>
            </c:strRef>
          </c:tx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Expenses'!$R$43:$W$43</c:f>
              <c:numCache>
                <c:formatCode>_-* #,##0_-;\-* #,##0_-;_-* "-"??_-;_-@_-</c:formatCode>
                <c:ptCount val="6"/>
                <c:pt idx="0">
                  <c:v>20000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D4-4C48-9F80-23E1C97CBCCA}"/>
            </c:ext>
          </c:extLst>
        </c:ser>
        <c:ser>
          <c:idx val="2"/>
          <c:order val="2"/>
          <c:tx>
            <c:strRef>
              <c:f>'Capital Expenses'!$Q$44</c:f>
              <c:strCache>
                <c:ptCount val="1"/>
                <c:pt idx="0">
                  <c:v>Office Furniture</c:v>
                </c:pt>
              </c:strCache>
            </c:strRef>
          </c:tx>
          <c:spPr>
            <a:ln w="25400">
              <a:noFill/>
            </a:ln>
          </c:spPr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Expenses'!$R$44:$W$44</c:f>
              <c:numCache>
                <c:formatCode>_-* #,##0_-;\-* #,##0_-;_-* "-"??_-;_-@_-</c:formatCode>
                <c:ptCount val="6"/>
                <c:pt idx="0">
                  <c:v>3000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D4-4C48-9F80-23E1C97CBCCA}"/>
            </c:ext>
          </c:extLst>
        </c:ser>
        <c:ser>
          <c:idx val="3"/>
          <c:order val="3"/>
          <c:tx>
            <c:strRef>
              <c:f>'Capital Expenses'!$Q$45</c:f>
              <c:strCache>
                <c:ptCount val="1"/>
                <c:pt idx="0">
                  <c:v>Company Vehicle</c:v>
                </c:pt>
              </c:strCache>
            </c:strRef>
          </c:tx>
          <c:spPr>
            <a:ln w="25400">
              <a:noFill/>
            </a:ln>
          </c:spPr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Expenses'!$R$45:$W$45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35000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D4-4C48-9F80-23E1C97CBCCA}"/>
            </c:ext>
          </c:extLst>
        </c:ser>
        <c:ser>
          <c:idx val="4"/>
          <c:order val="4"/>
          <c:tx>
            <c:strRef>
              <c:f>'Capital Expenses'!$Q$46</c:f>
              <c:strCache>
                <c:ptCount val="1"/>
                <c:pt idx="0">
                  <c:v>High Cap. Testing Unit</c:v>
                </c:pt>
              </c:strCache>
            </c:strRef>
          </c:tx>
          <c:spPr>
            <a:ln w="25400">
              <a:noFill/>
            </a:ln>
          </c:spPr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Expenses'!$R$46:$W$46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55000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D4-4C48-9F80-23E1C97CBCCA}"/>
            </c:ext>
          </c:extLst>
        </c:ser>
        <c:ser>
          <c:idx val="5"/>
          <c:order val="5"/>
          <c:tx>
            <c:strRef>
              <c:f>'Capital Expenses'!$Q$47</c:f>
              <c:strCache>
                <c:ptCount val="1"/>
                <c:pt idx="0">
                  <c:v>Office Furniture</c:v>
                </c:pt>
              </c:strCache>
            </c:strRef>
          </c:tx>
          <c:spPr>
            <a:ln w="25400">
              <a:noFill/>
            </a:ln>
          </c:spPr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Expenses'!$R$47:$W$47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8000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4D4-4C48-9F80-23E1C97CBCCA}"/>
            </c:ext>
          </c:extLst>
        </c:ser>
        <c:ser>
          <c:idx val="6"/>
          <c:order val="6"/>
          <c:tx>
            <c:strRef>
              <c:f>'Capital Expenses'!$Q$48</c:f>
              <c:strCache>
                <c:ptCount val="1"/>
                <c:pt idx="0">
                  <c:v>Storage Racks</c:v>
                </c:pt>
              </c:strCache>
            </c:strRef>
          </c:tx>
          <c:spPr>
            <a:ln w="25400">
              <a:noFill/>
            </a:ln>
          </c:spPr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Expenses'!$R$48:$W$48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3000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D4-4C48-9F80-23E1C97CBCCA}"/>
            </c:ext>
          </c:extLst>
        </c:ser>
        <c:ser>
          <c:idx val="7"/>
          <c:order val="7"/>
          <c:tx>
            <c:strRef>
              <c:f>'Capital Expenses'!$Q$49</c:f>
              <c:strCache>
                <c:ptCount val="1"/>
                <c:pt idx="0">
                  <c:v>New Lab Tools</c:v>
                </c:pt>
              </c:strCache>
            </c:strRef>
          </c:tx>
          <c:spPr>
            <a:ln w="25400">
              <a:noFill/>
            </a:ln>
          </c:spPr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Expenses'!$R$49:$W$49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15000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4D4-4C48-9F80-23E1C97CBCCA}"/>
            </c:ext>
          </c:extLst>
        </c:ser>
        <c:ser>
          <c:idx val="8"/>
          <c:order val="8"/>
          <c:tx>
            <c:strRef>
              <c:f>'Capital Expenses'!$Q$50</c:f>
              <c:strCache>
                <c:ptCount val="1"/>
                <c:pt idx="0">
                  <c:v>Company Vehicle</c:v>
                </c:pt>
              </c:strCache>
            </c:strRef>
          </c:tx>
          <c:spPr>
            <a:ln w="25400">
              <a:noFill/>
            </a:ln>
          </c:spPr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Expenses'!$R$50:$W$50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4D4-4C48-9F80-23E1C97CBCCA}"/>
            </c:ext>
          </c:extLst>
        </c:ser>
        <c:ser>
          <c:idx val="9"/>
          <c:order val="9"/>
          <c:tx>
            <c:strRef>
              <c:f>'Capital Expenses'!$Q$51</c:f>
              <c:strCache>
                <c:ptCount val="1"/>
                <c:pt idx="0">
                  <c:v>Empty</c:v>
                </c:pt>
              </c:strCache>
            </c:strRef>
          </c:tx>
          <c:spPr>
            <a:ln w="25400">
              <a:noFill/>
            </a:ln>
          </c:spPr>
          <c:invertIfNegative val="0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Expenses'!$R$51:$W$51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4D4-4C48-9F80-23E1C97CB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1"/>
        <c:overlap val="100"/>
        <c:axId val="217826608"/>
        <c:axId val="217827168"/>
      </c:barChart>
      <c:catAx>
        <c:axId val="217826608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7827168"/>
        <c:crosses val="autoZero"/>
        <c:auto val="0"/>
        <c:lblAlgn val="ctr"/>
        <c:lblOffset val="100"/>
        <c:noMultiLvlLbl val="0"/>
      </c:catAx>
      <c:valAx>
        <c:axId val="217827168"/>
        <c:scaling>
          <c:orientation val="minMax"/>
        </c:scaling>
        <c:delete val="0"/>
        <c:axPos val="l"/>
        <c:majorGridlines/>
        <c:title>
          <c:tx>
            <c:strRef>
              <c:f>'Capital Expenses'!$A$2</c:f>
              <c:strCache>
                <c:ptCount val="1"/>
                <c:pt idx="0">
                  <c:v>Capital Expenditure (USD)</c:v>
                </c:pt>
              </c:strCache>
            </c:strRef>
          </c:tx>
          <c:layout>
            <c:manualLayout>
              <c:xMode val="edge"/>
              <c:yMode val="edge"/>
              <c:x val="3.0555555555555555E-2"/>
              <c:y val="0.26839883373780049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7826608"/>
        <c:crosses val="autoZero"/>
        <c:crossBetween val="between"/>
        <c:dispUnits>
          <c:builtInUnit val="thousands"/>
          <c:dispUnitsLbl/>
        </c:dispUnits>
      </c:valAx>
    </c:plotArea>
    <c:legend>
      <c:legendPos val="b"/>
      <c:layout>
        <c:manualLayout>
          <c:xMode val="edge"/>
          <c:yMode val="edge"/>
          <c:x val="0.1075"/>
          <c:y val="0.83666672486338323"/>
          <c:w val="0.78500000000000003"/>
          <c:h val="0.13672573633395602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Capital Expenditure - Impact on Balance Sheet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438451443569553"/>
          <c:y val="0.24652317147035796"/>
          <c:w val="0.74631692913385828"/>
          <c:h val="0.43744840525328332"/>
        </c:manualLayout>
      </c:layout>
      <c:scatterChart>
        <c:scatterStyle val="lineMarker"/>
        <c:varyColors val="0"/>
        <c:ser>
          <c:idx val="0"/>
          <c:order val="0"/>
          <c:tx>
            <c:strRef>
              <c:f>'Capital Expenses'!$Q$60</c:f>
              <c:strCache>
                <c:ptCount val="1"/>
                <c:pt idx="0">
                  <c:v>Lab Tools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Expenses'!$R$60:$W$60</c:f>
              <c:numCache>
                <c:formatCode>_-* #,##0_-;\-* #,##0_-;_-* "-"??_-;_-@_-</c:formatCode>
                <c:ptCount val="6"/>
                <c:pt idx="0">
                  <c:v>11785.714285714286</c:v>
                </c:pt>
                <c:pt idx="1">
                  <c:v>20999.999999999996</c:v>
                </c:pt>
                <c:pt idx="2">
                  <c:v>4714.2857142857119</c:v>
                </c:pt>
                <c:pt idx="3">
                  <c:v>3857.1428571428551</c:v>
                </c:pt>
                <c:pt idx="4">
                  <c:v>2999.9999999999982</c:v>
                </c:pt>
                <c:pt idx="5">
                  <c:v>2142.8571428571413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81-4777-A40B-4911A8246607}"/>
            </c:ext>
          </c:extLst>
        </c:ser>
        <c:ser>
          <c:idx val="1"/>
          <c:order val="1"/>
          <c:tx>
            <c:strRef>
              <c:f>'Capital Expenses'!$Q$61</c:f>
              <c:strCache>
                <c:ptCount val="1"/>
                <c:pt idx="0">
                  <c:v>Product Testing Unit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Expenses'!$R$61:$W$61</c:f>
              <c:numCache>
                <c:formatCode>_-* #,##0_-;\-* #,##0_-;_-* "-"??_-;_-@_-</c:formatCode>
                <c:ptCount val="6"/>
                <c:pt idx="0">
                  <c:v>20000</c:v>
                </c:pt>
                <c:pt idx="1">
                  <c:v>71666.666666666672</c:v>
                </c:pt>
                <c:pt idx="2">
                  <c:v>15833.333333333338</c:v>
                </c:pt>
                <c:pt idx="3">
                  <c:v>12500.000000000004</c:v>
                </c:pt>
                <c:pt idx="4">
                  <c:v>9166.6666666666697</c:v>
                </c:pt>
                <c:pt idx="5">
                  <c:v>5833.3333333333358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B81-4777-A40B-4911A8246607}"/>
            </c:ext>
          </c:extLst>
        </c:ser>
        <c:ser>
          <c:idx val="2"/>
          <c:order val="2"/>
          <c:tx>
            <c:strRef>
              <c:f>'Capital Expenses'!$Q$62</c:f>
              <c:strCache>
                <c:ptCount val="1"/>
                <c:pt idx="0">
                  <c:v>Office Furniture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Expenses'!$R$62:$W$62</c:f>
              <c:numCache>
                <c:formatCode>_-* #,##0_-;\-* #,##0_-;_-* "-"??_-;_-@_-</c:formatCode>
                <c:ptCount val="6"/>
                <c:pt idx="0">
                  <c:v>3000</c:v>
                </c:pt>
                <c:pt idx="1">
                  <c:v>10500</c:v>
                </c:pt>
                <c:pt idx="2">
                  <c:v>2250</c:v>
                </c:pt>
                <c:pt idx="3">
                  <c:v>1650</c:v>
                </c:pt>
                <c:pt idx="4">
                  <c:v>1050</c:v>
                </c:pt>
                <c:pt idx="5">
                  <c:v>450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B81-4777-A40B-4911A8246607}"/>
            </c:ext>
          </c:extLst>
        </c:ser>
        <c:ser>
          <c:idx val="3"/>
          <c:order val="3"/>
          <c:tx>
            <c:strRef>
              <c:f>'Capital Expenses'!$Q$63</c:f>
              <c:strCache>
                <c:ptCount val="1"/>
                <c:pt idx="0">
                  <c:v>Company Vehicle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Expenses'!$R$63:$W$63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99750</c:v>
                </c:pt>
                <c:pt idx="2">
                  <c:v>29750</c:v>
                </c:pt>
                <c:pt idx="3">
                  <c:v>22750</c:v>
                </c:pt>
                <c:pt idx="4">
                  <c:v>15750</c:v>
                </c:pt>
                <c:pt idx="5">
                  <c:v>8750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B81-4777-A40B-4911A8246607}"/>
            </c:ext>
          </c:extLst>
        </c:ser>
        <c:ser>
          <c:idx val="4"/>
          <c:order val="4"/>
          <c:tx>
            <c:strRef>
              <c:f>'Capital Expenses'!$Q$64</c:f>
              <c:strCache>
                <c:ptCount val="1"/>
                <c:pt idx="0">
                  <c:v>High Cap. Testing Unit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Expenses'!$R$64:$W$64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107708.33333333334</c:v>
                </c:pt>
                <c:pt idx="2">
                  <c:v>50416.666666666672</c:v>
                </c:pt>
                <c:pt idx="3">
                  <c:v>41250.000000000007</c:v>
                </c:pt>
                <c:pt idx="4">
                  <c:v>32083.333333333343</c:v>
                </c:pt>
                <c:pt idx="5">
                  <c:v>22916.666666666679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B81-4777-A40B-4911A8246607}"/>
            </c:ext>
          </c:extLst>
        </c:ser>
        <c:ser>
          <c:idx val="5"/>
          <c:order val="5"/>
          <c:tx>
            <c:strRef>
              <c:f>'Capital Expenses'!$Q$65</c:f>
              <c:strCache>
                <c:ptCount val="1"/>
                <c:pt idx="0">
                  <c:v>Office Furniture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Expenses'!$R$65:$W$65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15600</c:v>
                </c:pt>
                <c:pt idx="2">
                  <c:v>7200</c:v>
                </c:pt>
                <c:pt idx="3">
                  <c:v>5600</c:v>
                </c:pt>
                <c:pt idx="4">
                  <c:v>4000</c:v>
                </c:pt>
                <c:pt idx="5">
                  <c:v>2400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B81-4777-A40B-4911A8246607}"/>
            </c:ext>
          </c:extLst>
        </c:ser>
        <c:ser>
          <c:idx val="6"/>
          <c:order val="6"/>
          <c:tx>
            <c:strRef>
              <c:f>'Capital Expenses'!$Q$66</c:f>
              <c:strCache>
                <c:ptCount val="1"/>
                <c:pt idx="0">
                  <c:v>Storage Racks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Expenses'!$R$66:$W$66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3000</c:v>
                </c:pt>
                <c:pt idx="3">
                  <c:v>2400</c:v>
                </c:pt>
                <c:pt idx="4">
                  <c:v>1800</c:v>
                </c:pt>
                <c:pt idx="5">
                  <c:v>1200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B81-4777-A40B-4911A8246607}"/>
            </c:ext>
          </c:extLst>
        </c:ser>
        <c:ser>
          <c:idx val="7"/>
          <c:order val="7"/>
          <c:tx>
            <c:strRef>
              <c:f>'Capital Expenses'!$Q$67</c:f>
              <c:strCache>
                <c:ptCount val="1"/>
                <c:pt idx="0">
                  <c:v>New Lab Tools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Expenses'!$R$67:$W$67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15000</c:v>
                </c:pt>
                <c:pt idx="4">
                  <c:v>12857.142857142857</c:v>
                </c:pt>
                <c:pt idx="5">
                  <c:v>10714.285714285714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B81-4777-A40B-4911A8246607}"/>
            </c:ext>
          </c:extLst>
        </c:ser>
        <c:ser>
          <c:idx val="8"/>
          <c:order val="8"/>
          <c:tx>
            <c:strRef>
              <c:f>'Capital Expenses'!$Q$68</c:f>
              <c:strCache>
                <c:ptCount val="1"/>
                <c:pt idx="0">
                  <c:v>Company Vehicle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Expenses'!$R$68:$W$68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B81-4777-A40B-4911A8246607}"/>
            </c:ext>
          </c:extLst>
        </c:ser>
        <c:ser>
          <c:idx val="9"/>
          <c:order val="9"/>
          <c:tx>
            <c:strRef>
              <c:f>'Capital Expenses'!$Q$69</c:f>
              <c:strCache>
                <c:ptCount val="1"/>
                <c:pt idx="0">
                  <c:v>Empty</c:v>
                </c:pt>
              </c:strCache>
            </c:strRef>
          </c:tx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Expenses'!$R$69:$W$69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B81-4777-A40B-4911A8246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011504"/>
        <c:axId val="219012064"/>
      </c:scatterChart>
      <c:valAx>
        <c:axId val="219011504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9012064"/>
        <c:crosses val="autoZero"/>
        <c:crossBetween val="midCat"/>
      </c:valAx>
      <c:valAx>
        <c:axId val="219012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Capital Asset Value</a:t>
                </a:r>
              </a:p>
            </c:rich>
          </c:tx>
          <c:layout>
            <c:manualLayout>
              <c:xMode val="edge"/>
              <c:yMode val="edge"/>
              <c:x val="3.3333333333333333E-2"/>
              <c:y val="0.332188621825648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19011504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layout>
        <c:manualLayout>
          <c:xMode val="edge"/>
          <c:yMode val="edge"/>
          <c:x val="0.1075"/>
          <c:y val="0.80869458945126316"/>
          <c:w val="0.89249999999999996"/>
          <c:h val="0.19130541054873684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Capital Expenditure - Depreciation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049562554680664"/>
          <c:y val="0.24652317147035796"/>
          <c:w val="0.76020581802274712"/>
          <c:h val="0.43744840525328332"/>
        </c:manualLayout>
      </c:layout>
      <c:scatterChart>
        <c:scatterStyle val="lineMarker"/>
        <c:varyColors val="0"/>
        <c:ser>
          <c:idx val="0"/>
          <c:order val="0"/>
          <c:tx>
            <c:strRef>
              <c:f>'Capital Expenses'!$Q$24</c:f>
              <c:strCache>
                <c:ptCount val="1"/>
                <c:pt idx="0">
                  <c:v>Lab Tools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Expenses'!$R$24:$W$24</c:f>
              <c:numCache>
                <c:formatCode>_-* #,##0_-;\-* #,##0_-;_-* "-"??_-;_-@_-</c:formatCode>
                <c:ptCount val="6"/>
                <c:pt idx="0">
                  <c:v>428.57142857142856</c:v>
                </c:pt>
                <c:pt idx="1">
                  <c:v>857.14285714285711</c:v>
                </c:pt>
                <c:pt idx="2">
                  <c:v>857.14285714285711</c:v>
                </c:pt>
                <c:pt idx="3">
                  <c:v>857.14285714285711</c:v>
                </c:pt>
                <c:pt idx="4">
                  <c:v>857.14285714285711</c:v>
                </c:pt>
                <c:pt idx="5">
                  <c:v>857.14285714285711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CF-4BA8-AD6A-25A1D685FC70}"/>
            </c:ext>
          </c:extLst>
        </c:ser>
        <c:ser>
          <c:idx val="1"/>
          <c:order val="1"/>
          <c:tx>
            <c:strRef>
              <c:f>'Capital Expenses'!$Q$25</c:f>
              <c:strCache>
                <c:ptCount val="1"/>
                <c:pt idx="0">
                  <c:v>Product Testing Unit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Expenses'!$R$25:$W$25</c:f>
              <c:numCache>
                <c:formatCode>_-* #,##0_-;\-* #,##0_-;_-* "-"??_-;_-@_-</c:formatCode>
                <c:ptCount val="6"/>
                <c:pt idx="0">
                  <c:v>833.33333333333337</c:v>
                </c:pt>
                <c:pt idx="1">
                  <c:v>3333.3333333333335</c:v>
                </c:pt>
                <c:pt idx="2">
                  <c:v>3333.3333333333335</c:v>
                </c:pt>
                <c:pt idx="3">
                  <c:v>3333.3333333333335</c:v>
                </c:pt>
                <c:pt idx="4">
                  <c:v>3333.3333333333335</c:v>
                </c:pt>
                <c:pt idx="5">
                  <c:v>3333.3333333333335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FCF-4BA8-AD6A-25A1D685FC70}"/>
            </c:ext>
          </c:extLst>
        </c:ser>
        <c:ser>
          <c:idx val="2"/>
          <c:order val="2"/>
          <c:tx>
            <c:strRef>
              <c:f>'Capital Expenses'!$Q$26</c:f>
              <c:strCache>
                <c:ptCount val="1"/>
                <c:pt idx="0">
                  <c:v>Office Furniture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Expenses'!$R$26:$W$26</c:f>
              <c:numCache>
                <c:formatCode>_-* #,##0_-;\-* #,##0_-;_-* "-"??_-;_-@_-</c:formatCode>
                <c:ptCount val="6"/>
                <c:pt idx="0">
                  <c:v>150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FCF-4BA8-AD6A-25A1D685FC70}"/>
            </c:ext>
          </c:extLst>
        </c:ser>
        <c:ser>
          <c:idx val="3"/>
          <c:order val="3"/>
          <c:tx>
            <c:strRef>
              <c:f>'Capital Expenses'!$Q$27</c:f>
              <c:strCache>
                <c:ptCount val="1"/>
                <c:pt idx="0">
                  <c:v>Company Vehicle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Expenses'!$R$27:$W$27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5250</c:v>
                </c:pt>
                <c:pt idx="2">
                  <c:v>7000</c:v>
                </c:pt>
                <c:pt idx="3">
                  <c:v>7000</c:v>
                </c:pt>
                <c:pt idx="4">
                  <c:v>7000</c:v>
                </c:pt>
                <c:pt idx="5">
                  <c:v>7000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FCF-4BA8-AD6A-25A1D685FC70}"/>
            </c:ext>
          </c:extLst>
        </c:ser>
        <c:ser>
          <c:idx val="4"/>
          <c:order val="4"/>
          <c:tx>
            <c:strRef>
              <c:f>'Capital Expenses'!$Q$28</c:f>
              <c:strCache>
                <c:ptCount val="1"/>
                <c:pt idx="0">
                  <c:v>High Cap. Testing Unit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Expenses'!$R$28:$W$28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4583.333333333333</c:v>
                </c:pt>
                <c:pt idx="2">
                  <c:v>9166.6666666666661</c:v>
                </c:pt>
                <c:pt idx="3">
                  <c:v>9166.6666666666661</c:v>
                </c:pt>
                <c:pt idx="4">
                  <c:v>9166.6666666666661</c:v>
                </c:pt>
                <c:pt idx="5">
                  <c:v>9166.6666666666661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FCF-4BA8-AD6A-25A1D685FC70}"/>
            </c:ext>
          </c:extLst>
        </c:ser>
        <c:ser>
          <c:idx val="5"/>
          <c:order val="5"/>
          <c:tx>
            <c:strRef>
              <c:f>'Capital Expenses'!$Q$29</c:f>
              <c:strCache>
                <c:ptCount val="1"/>
                <c:pt idx="0">
                  <c:v>Office Furniture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Expenses'!$R$29:$W$29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800</c:v>
                </c:pt>
                <c:pt idx="2">
                  <c:v>1600</c:v>
                </c:pt>
                <c:pt idx="3">
                  <c:v>1600</c:v>
                </c:pt>
                <c:pt idx="4">
                  <c:v>1600</c:v>
                </c:pt>
                <c:pt idx="5">
                  <c:v>1600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FCF-4BA8-AD6A-25A1D685FC70}"/>
            </c:ext>
          </c:extLst>
        </c:ser>
        <c:ser>
          <c:idx val="6"/>
          <c:order val="6"/>
          <c:tx>
            <c:strRef>
              <c:f>'Capital Expenses'!$Q$30</c:f>
              <c:strCache>
                <c:ptCount val="1"/>
                <c:pt idx="0">
                  <c:v>Storage Racks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Expenses'!$R$30:$W$30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FCF-4BA8-AD6A-25A1D685FC70}"/>
            </c:ext>
          </c:extLst>
        </c:ser>
        <c:ser>
          <c:idx val="7"/>
          <c:order val="7"/>
          <c:tx>
            <c:strRef>
              <c:f>'Capital Expenses'!$Q$31</c:f>
              <c:strCache>
                <c:ptCount val="1"/>
                <c:pt idx="0">
                  <c:v>New Lab Tools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Expenses'!$R$31:$W$31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2142.8571428571427</c:v>
                </c:pt>
                <c:pt idx="4">
                  <c:v>2142.8571428571427</c:v>
                </c:pt>
                <c:pt idx="5">
                  <c:v>2142.8571428571427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FCF-4BA8-AD6A-25A1D685FC70}"/>
            </c:ext>
          </c:extLst>
        </c:ser>
        <c:ser>
          <c:idx val="8"/>
          <c:order val="8"/>
          <c:tx>
            <c:strRef>
              <c:f>'Capital Expenses'!$Q$32</c:f>
              <c:strCache>
                <c:ptCount val="1"/>
                <c:pt idx="0">
                  <c:v>Company Vehicle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Expenses'!$R$32:$W$32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FCF-4BA8-AD6A-25A1D685FC70}"/>
            </c:ext>
          </c:extLst>
        </c:ser>
        <c:ser>
          <c:idx val="9"/>
          <c:order val="9"/>
          <c:tx>
            <c:strRef>
              <c:f>'Capital Expenses'!$Q$33</c:f>
              <c:strCache>
                <c:ptCount val="1"/>
                <c:pt idx="0">
                  <c:v>Empty</c:v>
                </c:pt>
              </c:strCache>
            </c:strRef>
          </c:tx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Expenses'!$R$33:$W$33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4FCF-4BA8-AD6A-25A1D685F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019904"/>
        <c:axId val="219372800"/>
      </c:scatterChart>
      <c:valAx>
        <c:axId val="219019904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9372800"/>
        <c:crosses val="autoZero"/>
        <c:crossBetween val="midCat"/>
      </c:valAx>
      <c:valAx>
        <c:axId val="2193728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Depreciation</a:t>
                </a:r>
              </a:p>
            </c:rich>
          </c:tx>
          <c:layout>
            <c:manualLayout>
              <c:xMode val="edge"/>
              <c:yMode val="edge"/>
              <c:x val="3.3333333333333333E-2"/>
              <c:y val="0.332188621825648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19019904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layout>
        <c:manualLayout>
          <c:xMode val="edge"/>
          <c:yMode val="edge"/>
          <c:x val="0.1075"/>
          <c:y val="0.8325883926671328"/>
          <c:w val="0.89249999999999996"/>
          <c:h val="0.16741160733286717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Quarterly Expenses by Type (first</a:t>
            </a:r>
            <a:r>
              <a:rPr lang="en-GB" baseline="0"/>
              <a:t> two years)</a:t>
            </a:r>
            <a:endParaRPr lang="en-GB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'Total Expenses'!$A$9</c:f>
              <c:strCache>
                <c:ptCount val="1"/>
                <c:pt idx="0">
                  <c:v>COGS</c:v>
                </c:pt>
              </c:strCache>
            </c:strRef>
          </c:tx>
          <c:xVal>
            <c:numRef>
              <c:f>'Total Expenses'!$B$8:$I$8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'Total Expenses'!$B$9:$I$9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231140</c:v>
                </c:pt>
                <c:pt idx="5">
                  <c:v>231140</c:v>
                </c:pt>
                <c:pt idx="6">
                  <c:v>231140</c:v>
                </c:pt>
                <c:pt idx="7">
                  <c:v>231140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E6-49A1-8876-D222FDD02AA3}"/>
            </c:ext>
          </c:extLst>
        </c:ser>
        <c:ser>
          <c:idx val="1"/>
          <c:order val="1"/>
          <c:tx>
            <c:strRef>
              <c:f>'Total Expenses'!$A$10</c:f>
              <c:strCache>
                <c:ptCount val="1"/>
                <c:pt idx="0">
                  <c:v>Operating Expenses</c:v>
                </c:pt>
              </c:strCache>
            </c:strRef>
          </c:tx>
          <c:xVal>
            <c:numRef>
              <c:f>'Total Expenses'!$B$8:$I$8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'Total Expenses'!$B$10:$I$10</c:f>
              <c:numCache>
                <c:formatCode>_-* #,##0_-;\-* #,##0_-;_-* "-"??_-;_-@_-</c:formatCode>
                <c:ptCount val="8"/>
                <c:pt idx="0">
                  <c:v>84000</c:v>
                </c:pt>
                <c:pt idx="1">
                  <c:v>84000</c:v>
                </c:pt>
                <c:pt idx="2">
                  <c:v>111800</c:v>
                </c:pt>
                <c:pt idx="3">
                  <c:v>139600</c:v>
                </c:pt>
                <c:pt idx="4">
                  <c:v>350450</c:v>
                </c:pt>
                <c:pt idx="5">
                  <c:v>416475</c:v>
                </c:pt>
                <c:pt idx="6">
                  <c:v>461650</c:v>
                </c:pt>
                <c:pt idx="7">
                  <c:v>562425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E6-49A1-8876-D222FDD02AA3}"/>
            </c:ext>
          </c:extLst>
        </c:ser>
        <c:ser>
          <c:idx val="3"/>
          <c:order val="2"/>
          <c:tx>
            <c:strRef>
              <c:f>'Total Expenses'!$A$11</c:f>
              <c:strCache>
                <c:ptCount val="1"/>
                <c:pt idx="0">
                  <c:v>Depreciation and Amortization</c:v>
                </c:pt>
              </c:strCache>
            </c:strRef>
          </c:tx>
          <c:xVal>
            <c:numRef>
              <c:f>'Total Expenses'!$B$8:$I$8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'Total Expenses'!$B$11:$I$11</c:f>
              <c:numCache>
                <c:formatCode>_-* #,##0_-;\-* #,##0_-;_-*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214.28571428571428</c:v>
                </c:pt>
                <c:pt idx="3">
                  <c:v>1197.6190476190477</c:v>
                </c:pt>
                <c:pt idx="4">
                  <c:v>1197.6190476190477</c:v>
                </c:pt>
                <c:pt idx="5">
                  <c:v>2947.6190476190477</c:v>
                </c:pt>
                <c:pt idx="6">
                  <c:v>5639.2857142857138</c:v>
                </c:pt>
                <c:pt idx="7">
                  <c:v>5639.2857142857138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DE6-49A1-8876-D222FDD02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376720"/>
        <c:axId val="219377280"/>
      </c:scatterChart>
      <c:valAx>
        <c:axId val="21937672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9377280"/>
        <c:crosses val="autoZero"/>
        <c:crossBetween val="midCat"/>
      </c:valAx>
      <c:valAx>
        <c:axId val="219377280"/>
        <c:scaling>
          <c:orientation val="minMax"/>
        </c:scaling>
        <c:delete val="0"/>
        <c:axPos val="l"/>
        <c:majorGridlines/>
        <c:title>
          <c:tx>
            <c:strRef>
              <c:f>'Total Expenses'!$A$2</c:f>
              <c:strCache>
                <c:ptCount val="1"/>
                <c:pt idx="0">
                  <c:v>Expenses (USD)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&quot;£&quot;#,##0" sourceLinked="0"/>
        <c:majorTickMark val="out"/>
        <c:minorTickMark val="none"/>
        <c:tickLblPos val="nextTo"/>
        <c:crossAx val="21937672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Annual Expenses by Type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'Total Expenses'!$Q$25</c:f>
              <c:strCache>
                <c:ptCount val="1"/>
                <c:pt idx="0">
                  <c:v>COGS</c:v>
                </c:pt>
              </c:strCache>
            </c:strRef>
          </c:tx>
          <c:xVal>
            <c:numRef>
              <c:f>'Total Expenses'!$R$24:$W$24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'Total Expenses'!$R$25:$W$25</c:f>
              <c:numCache>
                <c:formatCode>_-* #,##0_-;\-* #,##0_-;_-* "-"??_-;_-@_-</c:formatCode>
                <c:ptCount val="6"/>
                <c:pt idx="0">
                  <c:v>0</c:v>
                </c:pt>
                <c:pt idx="1">
                  <c:v>924560</c:v>
                </c:pt>
                <c:pt idx="2">
                  <c:v>3621196.8000000007</c:v>
                </c:pt>
                <c:pt idx="3">
                  <c:v>6532085.2480000006</c:v>
                </c:pt>
                <c:pt idx="4">
                  <c:v>11506728.796160001</c:v>
                </c:pt>
                <c:pt idx="5">
                  <c:v>20689182.605312005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77-4094-8E08-CD60AEA1642E}"/>
            </c:ext>
          </c:extLst>
        </c:ser>
        <c:ser>
          <c:idx val="1"/>
          <c:order val="1"/>
          <c:tx>
            <c:strRef>
              <c:f>'Total Expenses'!$Q$26</c:f>
              <c:strCache>
                <c:ptCount val="1"/>
                <c:pt idx="0">
                  <c:v>Operating Expenses</c:v>
                </c:pt>
              </c:strCache>
            </c:strRef>
          </c:tx>
          <c:xVal>
            <c:numRef>
              <c:f>'Total Expenses'!$R$24:$W$24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'Total Expenses'!$R$26:$W$26</c:f>
              <c:numCache>
                <c:formatCode>_-* #,##0_-;\-* #,##0_-;_-* "-"??_-;_-@_-</c:formatCode>
                <c:ptCount val="6"/>
                <c:pt idx="0">
                  <c:v>419400</c:v>
                </c:pt>
                <c:pt idx="1">
                  <c:v>1791000</c:v>
                </c:pt>
                <c:pt idx="2">
                  <c:v>2879620</c:v>
                </c:pt>
                <c:pt idx="3">
                  <c:v>4344664.5</c:v>
                </c:pt>
                <c:pt idx="4">
                  <c:v>5546435.8250000002</c:v>
                </c:pt>
                <c:pt idx="5">
                  <c:v>6976264.0137499999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77-4094-8E08-CD60AEA1642E}"/>
            </c:ext>
          </c:extLst>
        </c:ser>
        <c:ser>
          <c:idx val="3"/>
          <c:order val="2"/>
          <c:tx>
            <c:strRef>
              <c:f>'Total Expenses'!$Q$27</c:f>
              <c:strCache>
                <c:ptCount val="1"/>
                <c:pt idx="0">
                  <c:v>Depreciation and Amortization</c:v>
                </c:pt>
              </c:strCache>
            </c:strRef>
          </c:tx>
          <c:xVal>
            <c:numRef>
              <c:f>'Total Expenses'!$R$24:$W$24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'Total Expenses'!$R$27:$W$27</c:f>
              <c:numCache>
                <c:formatCode>_-* #,##0_-;\-* #,##0_-;_-* "-"??_-;_-@_-</c:formatCode>
                <c:ptCount val="6"/>
                <c:pt idx="0">
                  <c:v>1411.9047619047619</c:v>
                </c:pt>
                <c:pt idx="1">
                  <c:v>15423.809523809523</c:v>
                </c:pt>
                <c:pt idx="2">
                  <c:v>23157.142857142855</c:v>
                </c:pt>
                <c:pt idx="3">
                  <c:v>25299.999999999996</c:v>
                </c:pt>
                <c:pt idx="4">
                  <c:v>25299.999999999996</c:v>
                </c:pt>
                <c:pt idx="5">
                  <c:v>34300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977-4094-8E08-CD60AEA16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381200"/>
        <c:axId val="219381760"/>
      </c:scatterChart>
      <c:valAx>
        <c:axId val="21938120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19381760"/>
        <c:crosses val="autoZero"/>
        <c:crossBetween val="midCat"/>
      </c:valAx>
      <c:valAx>
        <c:axId val="219381760"/>
        <c:scaling>
          <c:orientation val="minMax"/>
        </c:scaling>
        <c:delete val="0"/>
        <c:axPos val="l"/>
        <c:majorGridlines/>
        <c:title>
          <c:tx>
            <c:strRef>
              <c:f>'Top-Down'!$A$2</c:f>
              <c:strCache>
                <c:ptCount val="1"/>
                <c:pt idx="0">
                  <c:v>Revenues (USD)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1938120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Cash Flows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360438020682619"/>
          <c:y val="0.15278329383593231"/>
          <c:w val="0.67988699188230095"/>
          <c:h val="0.62026704025534374"/>
        </c:manualLayout>
      </c:layout>
      <c:scatterChart>
        <c:scatterStyle val="lineMarker"/>
        <c:varyColors val="0"/>
        <c:ser>
          <c:idx val="22"/>
          <c:order val="0"/>
          <c:tx>
            <c:strRef>
              <c:f>'Cash Flow'!$AA$25</c:f>
              <c:strCache>
                <c:ptCount val="1"/>
                <c:pt idx="0">
                  <c:v>Cash Flow</c:v>
                </c:pt>
              </c:strCache>
            </c:strRef>
          </c:tx>
          <c:spPr>
            <a:ln w="28575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xVal>
            <c:numRef>
              <c:f>'Cash Flow'!$AB$24:$AG$24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Flow'!$AB$25:$AG$25</c:f>
              <c:numCache>
                <c:formatCode>#,##0_);\(#,##0\)</c:formatCode>
                <c:ptCount val="6"/>
                <c:pt idx="0">
                  <c:v>2051600</c:v>
                </c:pt>
                <c:pt idx="1">
                  <c:v>-1183971.5068493155</c:v>
                </c:pt>
                <c:pt idx="2">
                  <c:v>-812459.35812133178</c:v>
                </c:pt>
                <c:pt idx="3">
                  <c:v>326362.05842465605</c:v>
                </c:pt>
                <c:pt idx="4">
                  <c:v>405416.02819246543</c:v>
                </c:pt>
                <c:pt idx="5">
                  <c:v>1050634.7715614676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80-445D-B886-E02D81E51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385120"/>
        <c:axId val="219385680"/>
      </c:scatterChart>
      <c:valAx>
        <c:axId val="219385120"/>
        <c:scaling>
          <c:orientation val="minMax"/>
          <c:max val="45800"/>
          <c:min val="44000"/>
        </c:scaling>
        <c:delete val="0"/>
        <c:axPos val="b"/>
        <c:numFmt formatCode="mmm\ yyyy" sourceLinked="1"/>
        <c:majorTickMark val="out"/>
        <c:minorTickMark val="none"/>
        <c:tickLblPos val="low"/>
        <c:crossAx val="219385680"/>
        <c:crosses val="autoZero"/>
        <c:crossBetween val="midCat"/>
      </c:valAx>
      <c:valAx>
        <c:axId val="219385680"/>
        <c:scaling>
          <c:orientation val="minMax"/>
          <c:max val="12000000"/>
          <c:min val="-3000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Cash Flow (USD)</a:t>
                </a:r>
              </a:p>
            </c:rich>
          </c:tx>
          <c:layout>
            <c:manualLayout>
              <c:xMode val="edge"/>
              <c:yMode val="edge"/>
              <c:x val="3.0769230769230771E-2"/>
              <c:y val="0.38144218006395286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crossAx val="219385120"/>
        <c:crosses val="autoZero"/>
        <c:crossBetween val="midCat"/>
        <c:majorUnit val="3000000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Cashflow (annual and cumulative)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'Cash Flow'!$AA$25</c:f>
              <c:strCache>
                <c:ptCount val="1"/>
                <c:pt idx="0">
                  <c:v>Cash Flow</c:v>
                </c:pt>
              </c:strCache>
            </c:strRef>
          </c:tx>
          <c:xVal>
            <c:numRef>
              <c:f>'Cash Flow'!$AB$24:$AG$24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Flow'!$AB$25:$AG$25</c:f>
              <c:numCache>
                <c:formatCode>#,##0_);\(#,##0\)</c:formatCode>
                <c:ptCount val="6"/>
                <c:pt idx="0">
                  <c:v>2051600</c:v>
                </c:pt>
                <c:pt idx="1">
                  <c:v>-1183971.5068493155</c:v>
                </c:pt>
                <c:pt idx="2">
                  <c:v>-812459.35812133178</c:v>
                </c:pt>
                <c:pt idx="3">
                  <c:v>326362.05842465605</c:v>
                </c:pt>
                <c:pt idx="4">
                  <c:v>405416.02819246543</c:v>
                </c:pt>
                <c:pt idx="5">
                  <c:v>1050634.7715614676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EA-4148-9318-9969351D9AD1}"/>
            </c:ext>
          </c:extLst>
        </c:ser>
        <c:ser>
          <c:idx val="1"/>
          <c:order val="1"/>
          <c:tx>
            <c:strRef>
              <c:f>'Cash Flow'!$AA$26</c:f>
              <c:strCache>
                <c:ptCount val="1"/>
                <c:pt idx="0">
                  <c:v>Ending Cash Balance</c:v>
                </c:pt>
              </c:strCache>
            </c:strRef>
          </c:tx>
          <c:xVal>
            <c:numRef>
              <c:f>'Cash Flow'!$AB$24:$AG$24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Flow'!$AB$26:$AG$26</c:f>
              <c:numCache>
                <c:formatCode>#,##0_);\(#,##0\)</c:formatCode>
                <c:ptCount val="6"/>
                <c:pt idx="0">
                  <c:v>2051600</c:v>
                </c:pt>
                <c:pt idx="1">
                  <c:v>867628.49315068487</c:v>
                </c:pt>
                <c:pt idx="2">
                  <c:v>55169.135029353085</c:v>
                </c:pt>
                <c:pt idx="3">
                  <c:v>381531.19345400913</c:v>
                </c:pt>
                <c:pt idx="4">
                  <c:v>786947.22164647456</c:v>
                </c:pt>
                <c:pt idx="5">
                  <c:v>1837581.9932079422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7EA-4148-9318-9969351D9A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388480"/>
        <c:axId val="220321888"/>
      </c:scatterChart>
      <c:valAx>
        <c:axId val="21938848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20321888"/>
        <c:crosses val="autoZero"/>
        <c:crossBetween val="midCat"/>
      </c:valAx>
      <c:valAx>
        <c:axId val="2203218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CashFlow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938848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Cash Balances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3391177715688766"/>
          <c:y val="0.15740223484005372"/>
          <c:w val="0.65878723224113112"/>
          <c:h val="0.61564809925122244"/>
        </c:manualLayout>
      </c:layout>
      <c:scatterChart>
        <c:scatterStyle val="lineMarker"/>
        <c:varyColors val="0"/>
        <c:ser>
          <c:idx val="24"/>
          <c:order val="0"/>
          <c:tx>
            <c:strRef>
              <c:f>'Cash Flow'!$A$40</c:f>
              <c:strCache>
                <c:ptCount val="1"/>
                <c:pt idx="0">
                  <c:v>Ending Cash Balance</c:v>
                </c:pt>
              </c:strCache>
            </c:strRef>
          </c:tx>
          <c:spPr>
            <a:ln w="38100" cap="flat" cmpd="sng" algn="ctr">
              <a:solidFill>
                <a:schemeClr val="accent4"/>
              </a:solidFill>
              <a:prstDash val="solid"/>
            </a:ln>
            <a:effectLst/>
          </c:spPr>
          <c:marker>
            <c:symbol val="none"/>
          </c:marker>
          <c:xVal>
            <c:numRef>
              <c:f>'Cash Flow'!$B$39:$O$39</c:f>
              <c:numCache>
                <c:formatCode>mmm\ yyyy</c:formatCode>
                <c:ptCount val="14"/>
                <c:pt idx="0">
                  <c:v>43831</c:v>
                </c:pt>
                <c:pt idx="1">
                  <c:v>43921</c:v>
                </c:pt>
                <c:pt idx="2">
                  <c:v>44012</c:v>
                </c:pt>
                <c:pt idx="3">
                  <c:v>44104</c:v>
                </c:pt>
                <c:pt idx="4">
                  <c:v>44196</c:v>
                </c:pt>
                <c:pt idx="5">
                  <c:v>44286</c:v>
                </c:pt>
                <c:pt idx="6">
                  <c:v>44377</c:v>
                </c:pt>
                <c:pt idx="7">
                  <c:v>44469</c:v>
                </c:pt>
                <c:pt idx="9">
                  <c:v>44561</c:v>
                </c:pt>
                <c:pt idx="10">
                  <c:v>44926</c:v>
                </c:pt>
                <c:pt idx="11">
                  <c:v>45291</c:v>
                </c:pt>
                <c:pt idx="12">
                  <c:v>45657</c:v>
                </c:pt>
                <c:pt idx="13">
                  <c:v>46022</c:v>
                </c:pt>
              </c:numCache>
            </c:numRef>
          </c:xVal>
          <c:yVal>
            <c:numRef>
              <c:f>'Cash Flow'!$B$40:$O$40</c:f>
              <c:numCache>
                <c:formatCode>#,##0_);\(#,##0\)</c:formatCode>
                <c:ptCount val="14"/>
                <c:pt idx="0">
                  <c:v>0</c:v>
                </c:pt>
                <c:pt idx="1">
                  <c:v>416000</c:v>
                </c:pt>
                <c:pt idx="2">
                  <c:v>2332000</c:v>
                </c:pt>
                <c:pt idx="3">
                  <c:v>2214200</c:v>
                </c:pt>
                <c:pt idx="4">
                  <c:v>2051600</c:v>
                </c:pt>
                <c:pt idx="5">
                  <c:v>1363948.493150685</c:v>
                </c:pt>
                <c:pt idx="6">
                  <c:v>1259883.493150685</c:v>
                </c:pt>
                <c:pt idx="7">
                  <c:v>1082643.493150685</c:v>
                </c:pt>
                <c:pt idx="9">
                  <c:v>867628.49315068487</c:v>
                </c:pt>
                <c:pt idx="10">
                  <c:v>55169.135029353085</c:v>
                </c:pt>
                <c:pt idx="11">
                  <c:v>381531.19345400913</c:v>
                </c:pt>
                <c:pt idx="12">
                  <c:v>786947.22164647456</c:v>
                </c:pt>
                <c:pt idx="13">
                  <c:v>1837581.9932079422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57-4DCA-90B7-D05D81BD1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24688"/>
        <c:axId val="220325248"/>
      </c:scatterChart>
      <c:valAx>
        <c:axId val="220324688"/>
        <c:scaling>
          <c:orientation val="minMax"/>
          <c:max val="46000"/>
          <c:min val="44000"/>
        </c:scaling>
        <c:delete val="0"/>
        <c:axPos val="b"/>
        <c:numFmt formatCode="mmm\ yyyy" sourceLinked="1"/>
        <c:majorTickMark val="out"/>
        <c:minorTickMark val="none"/>
        <c:tickLblPos val="low"/>
        <c:crossAx val="220325248"/>
        <c:crosses val="autoZero"/>
        <c:crossBetween val="midCat"/>
      </c:valAx>
      <c:valAx>
        <c:axId val="220325248"/>
        <c:scaling>
          <c:orientation val="minMax"/>
          <c:max val="12000000"/>
          <c:min val="-3000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Cash Flow (USD)</a:t>
                </a:r>
              </a:p>
            </c:rich>
          </c:tx>
          <c:layout>
            <c:manualLayout>
              <c:xMode val="edge"/>
              <c:yMode val="edge"/>
              <c:x val="3.8095238095238099E-2"/>
              <c:y val="0.36758550859995898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crossAx val="220324688"/>
        <c:crosses val="autoZero"/>
        <c:crossBetween val="midCat"/>
        <c:majorUnit val="3000000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Cashflow (annual and cumulative)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'Cash Flow'!$AA$52</c:f>
              <c:strCache>
                <c:ptCount val="1"/>
                <c:pt idx="0">
                  <c:v>Cash Flow</c:v>
                </c:pt>
              </c:strCache>
            </c:strRef>
          </c:tx>
          <c:xVal>
            <c:numRef>
              <c:f>'Cash Flow'!$AB$51:$AG$51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Flow'!$AB$52:$AG$52</c:f>
              <c:numCache>
                <c:formatCode>#,##0_);\(#,##0\)</c:formatCode>
                <c:ptCount val="6"/>
                <c:pt idx="0">
                  <c:v>-448400</c:v>
                </c:pt>
                <c:pt idx="1">
                  <c:v>-1183971.5068493155</c:v>
                </c:pt>
                <c:pt idx="2">
                  <c:v>-812459.35812133178</c:v>
                </c:pt>
                <c:pt idx="3">
                  <c:v>-173637.94157534395</c:v>
                </c:pt>
                <c:pt idx="4">
                  <c:v>405416.02819246543</c:v>
                </c:pt>
                <c:pt idx="5">
                  <c:v>1050634.7715614676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E9-6F43-86F8-E5B362F06F00}"/>
            </c:ext>
          </c:extLst>
        </c:ser>
        <c:ser>
          <c:idx val="1"/>
          <c:order val="1"/>
          <c:tx>
            <c:strRef>
              <c:f>'Cash Flow'!$AA$53</c:f>
              <c:strCache>
                <c:ptCount val="1"/>
                <c:pt idx="0">
                  <c:v>Ending Cash Balance</c:v>
                </c:pt>
              </c:strCache>
            </c:strRef>
          </c:tx>
          <c:xVal>
            <c:numRef>
              <c:f>'Cash Flow'!$AB$51:$AG$51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Flow'!$AB$53:$AG$53</c:f>
              <c:numCache>
                <c:formatCode>#,##0_);\(#,##0\)</c:formatCode>
                <c:ptCount val="6"/>
                <c:pt idx="0">
                  <c:v>-448400</c:v>
                </c:pt>
                <c:pt idx="1">
                  <c:v>-1632371.5068493155</c:v>
                </c:pt>
                <c:pt idx="2">
                  <c:v>-2444830.8649706473</c:v>
                </c:pt>
                <c:pt idx="3">
                  <c:v>-2618468.8065459915</c:v>
                </c:pt>
                <c:pt idx="4">
                  <c:v>-2213052.7783535263</c:v>
                </c:pt>
                <c:pt idx="5">
                  <c:v>-1162418.0067920587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CE9-6F43-86F8-E5B362F06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388480"/>
        <c:axId val="220321888"/>
      </c:scatterChart>
      <c:valAx>
        <c:axId val="219388480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crossAx val="220321888"/>
        <c:crosses val="autoZero"/>
        <c:crossBetween val="midCat"/>
      </c:valAx>
      <c:valAx>
        <c:axId val="2203218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CashFlow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9388480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Measures of Company</a:t>
            </a:r>
            <a:r>
              <a:rPr lang="en-GB" baseline="0"/>
              <a:t> Profitability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04534215831719"/>
          <c:y val="0.15733784889792005"/>
          <c:w val="0.76287935720973588"/>
          <c:h val="0.58571353525212611"/>
        </c:manualLayout>
      </c:layout>
      <c:scatterChart>
        <c:scatterStyle val="lineMarker"/>
        <c:varyColors val="0"/>
        <c:ser>
          <c:idx val="1"/>
          <c:order val="0"/>
          <c:tx>
            <c:strRef>
              <c:f>Profiltability!$Q$8</c:f>
              <c:strCache>
                <c:ptCount val="1"/>
                <c:pt idx="0">
                  <c:v>Gross Profit</c:v>
                </c:pt>
              </c:strCache>
            </c:strRef>
          </c:tx>
          <c:xVal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Profiltability!$R$8:$W$8</c:f>
              <c:numCache>
                <c:formatCode>#,##0_);\(#,##0\)</c:formatCode>
                <c:ptCount val="6"/>
                <c:pt idx="0">
                  <c:v>0</c:v>
                </c:pt>
                <c:pt idx="1">
                  <c:v>1389639.9999999995</c:v>
                </c:pt>
                <c:pt idx="2">
                  <c:v>3971203.1999999983</c:v>
                </c:pt>
                <c:pt idx="3">
                  <c:v>6338514.7519999994</c:v>
                </c:pt>
                <c:pt idx="4">
                  <c:v>9606071.2038399987</c:v>
                </c:pt>
                <c:pt idx="5">
                  <c:v>14593817.394687995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59-47F1-9F37-2F4F24FB5CEC}"/>
            </c:ext>
          </c:extLst>
        </c:ser>
        <c:ser>
          <c:idx val="0"/>
          <c:order val="1"/>
          <c:tx>
            <c:strRef>
              <c:f>Profiltability!$Q$9</c:f>
              <c:strCache>
                <c:ptCount val="1"/>
                <c:pt idx="0">
                  <c:v>EBITDA</c:v>
                </c:pt>
              </c:strCache>
            </c:strRef>
          </c:tx>
          <c:xVal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Profiltability!$R$9:$W$9</c:f>
              <c:numCache>
                <c:formatCode>#,##0_);\(#,##0\)</c:formatCode>
                <c:ptCount val="6"/>
                <c:pt idx="0">
                  <c:v>-419400</c:v>
                </c:pt>
                <c:pt idx="1">
                  <c:v>-401360.00000000047</c:v>
                </c:pt>
                <c:pt idx="2">
                  <c:v>1091583.1999999983</c:v>
                </c:pt>
                <c:pt idx="3">
                  <c:v>1993850.2519999994</c:v>
                </c:pt>
                <c:pt idx="4">
                  <c:v>4059635.3788399985</c:v>
                </c:pt>
                <c:pt idx="5">
                  <c:v>7617553.3809379954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559-47F1-9F37-2F4F24FB5CEC}"/>
            </c:ext>
          </c:extLst>
        </c:ser>
        <c:ser>
          <c:idx val="2"/>
          <c:order val="2"/>
          <c:tx>
            <c:strRef>
              <c:f>Profiltability!$Q$10</c:f>
              <c:strCache>
                <c:ptCount val="1"/>
                <c:pt idx="0">
                  <c:v>Operating Profit (EBIT)</c:v>
                </c:pt>
              </c:strCache>
            </c:strRef>
          </c:tx>
          <c:xVal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Profiltability!$R$10:$W$10</c:f>
              <c:numCache>
                <c:formatCode>#,##0_);\(#,##0\)</c:formatCode>
                <c:ptCount val="6"/>
                <c:pt idx="0">
                  <c:v>-420811.90476190473</c:v>
                </c:pt>
                <c:pt idx="1">
                  <c:v>-416783.80952380999</c:v>
                </c:pt>
                <c:pt idx="2">
                  <c:v>1068426.0571428554</c:v>
                </c:pt>
                <c:pt idx="3">
                  <c:v>1968550.2519999994</c:v>
                </c:pt>
                <c:pt idx="4">
                  <c:v>4034335.3788399985</c:v>
                </c:pt>
                <c:pt idx="5">
                  <c:v>7583253.3809379954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559-47F1-9F37-2F4F24FB5CEC}"/>
            </c:ext>
          </c:extLst>
        </c:ser>
        <c:ser>
          <c:idx val="3"/>
          <c:order val="3"/>
          <c:tx>
            <c:strRef>
              <c:f>Profiltability!$Q$11</c:f>
              <c:strCache>
                <c:ptCount val="1"/>
                <c:pt idx="0">
                  <c:v>Profit before Tax</c:v>
                </c:pt>
              </c:strCache>
            </c:strRef>
          </c:tx>
          <c:xVal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Profiltability!$R$11:$W$11</c:f>
              <c:numCache>
                <c:formatCode>#,##0_);\(#,##0\)</c:formatCode>
                <c:ptCount val="6"/>
                <c:pt idx="0">
                  <c:v>-420811.90476190473</c:v>
                </c:pt>
                <c:pt idx="1">
                  <c:v>-416783.80952380999</c:v>
                </c:pt>
                <c:pt idx="2">
                  <c:v>1068426.0571428554</c:v>
                </c:pt>
                <c:pt idx="3">
                  <c:v>1968550.2519999994</c:v>
                </c:pt>
                <c:pt idx="4">
                  <c:v>4034335.3788399985</c:v>
                </c:pt>
                <c:pt idx="5">
                  <c:v>7583253.3809379954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559-47F1-9F37-2F4F24FB5CEC}"/>
            </c:ext>
          </c:extLst>
        </c:ser>
        <c:ser>
          <c:idx val="4"/>
          <c:order val="4"/>
          <c:tx>
            <c:strRef>
              <c:f>Profiltability!$Q$12</c:f>
              <c:strCache>
                <c:ptCount val="1"/>
                <c:pt idx="0">
                  <c:v>Profit after Tax (Net Income)</c:v>
                </c:pt>
              </c:strCache>
            </c:strRef>
          </c:tx>
          <c:xVal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Profiltability!$R$12:$W$12</c:f>
              <c:numCache>
                <c:formatCode>#,##0_);\(#,##0\)</c:formatCode>
                <c:ptCount val="6"/>
                <c:pt idx="0">
                  <c:v>-420811.90476190473</c:v>
                </c:pt>
                <c:pt idx="1">
                  <c:v>-416783.80952380999</c:v>
                </c:pt>
                <c:pt idx="2">
                  <c:v>801319.54285714147</c:v>
                </c:pt>
                <c:pt idx="3">
                  <c:v>1476412.6889999995</c:v>
                </c:pt>
                <c:pt idx="4">
                  <c:v>3025751.5341299986</c:v>
                </c:pt>
                <c:pt idx="5">
                  <c:v>5687440.035703497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559-47F1-9F37-2F4F24FB5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29728"/>
        <c:axId val="220330288"/>
      </c:scatterChart>
      <c:valAx>
        <c:axId val="220329728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low"/>
        <c:txPr>
          <a:bodyPr/>
          <a:lstStyle/>
          <a:p>
            <a:pPr algn="ctr">
              <a:defRPr lang="en-GB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0330288"/>
        <c:crosses val="autoZero"/>
        <c:crossBetween val="midCat"/>
      </c:valAx>
      <c:valAx>
        <c:axId val="220330288"/>
        <c:scaling>
          <c:orientation val="minMax"/>
        </c:scaling>
        <c:delete val="0"/>
        <c:axPos val="l"/>
        <c:majorGridlines/>
        <c:title>
          <c:tx>
            <c:strRef>
              <c:f>Profiltability!$A$2</c:f>
              <c:strCache>
                <c:ptCount val="1"/>
                <c:pt idx="0">
                  <c:v>USD</c:v>
                </c:pt>
              </c:strCache>
            </c:strRef>
          </c:tx>
          <c:layout>
            <c:manualLayout>
              <c:xMode val="edge"/>
              <c:yMode val="edge"/>
              <c:x val="1.8932481265928714E-2"/>
              <c:y val="0.38379996048880993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220329728"/>
        <c:crosses val="autoZero"/>
        <c:crossBetween val="midCat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215900</xdr:colOff>
      <xdr:row>3</xdr:row>
      <xdr:rowOff>168277</xdr:rowOff>
    </xdr:from>
    <xdr:to>
      <xdr:col>22</xdr:col>
      <xdr:colOff>409575</xdr:colOff>
      <xdr:row>16</xdr:row>
      <xdr:rowOff>38101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438150</xdr:colOff>
      <xdr:row>28</xdr:row>
      <xdr:rowOff>161925</xdr:rowOff>
    </xdr:from>
    <xdr:to>
      <xdr:col>22</xdr:col>
      <xdr:colOff>457200</xdr:colOff>
      <xdr:row>44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342900</xdr:colOff>
      <xdr:row>3</xdr:row>
      <xdr:rowOff>63500</xdr:rowOff>
    </xdr:from>
    <xdr:to>
      <xdr:col>22</xdr:col>
      <xdr:colOff>390525</xdr:colOff>
      <xdr:row>15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438150</xdr:colOff>
      <xdr:row>29</xdr:row>
      <xdr:rowOff>161925</xdr:rowOff>
    </xdr:from>
    <xdr:to>
      <xdr:col>22</xdr:col>
      <xdr:colOff>457200</xdr:colOff>
      <xdr:row>45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374650</xdr:colOff>
      <xdr:row>3</xdr:row>
      <xdr:rowOff>166565</xdr:rowOff>
    </xdr:from>
    <xdr:to>
      <xdr:col>22</xdr:col>
      <xdr:colOff>451827</xdr:colOff>
      <xdr:row>16</xdr:row>
      <xdr:rowOff>85480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438150</xdr:colOff>
      <xdr:row>30</xdr:row>
      <xdr:rowOff>161925</xdr:rowOff>
    </xdr:from>
    <xdr:to>
      <xdr:col>22</xdr:col>
      <xdr:colOff>457200</xdr:colOff>
      <xdr:row>46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314324</xdr:colOff>
      <xdr:row>3</xdr:row>
      <xdr:rowOff>76201</xdr:rowOff>
    </xdr:from>
    <xdr:to>
      <xdr:col>23</xdr:col>
      <xdr:colOff>57149</xdr:colOff>
      <xdr:row>17</xdr:row>
      <xdr:rowOff>104776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95250</xdr:colOff>
      <xdr:row>30</xdr:row>
      <xdr:rowOff>177800</xdr:rowOff>
    </xdr:from>
    <xdr:to>
      <xdr:col>21</xdr:col>
      <xdr:colOff>850900</xdr:colOff>
      <xdr:row>48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314324</xdr:colOff>
      <xdr:row>53</xdr:row>
      <xdr:rowOff>76201</xdr:rowOff>
    </xdr:from>
    <xdr:to>
      <xdr:col>23</xdr:col>
      <xdr:colOff>57149</xdr:colOff>
      <xdr:row>66</xdr:row>
      <xdr:rowOff>104776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95250</xdr:colOff>
      <xdr:row>79</xdr:row>
      <xdr:rowOff>177800</xdr:rowOff>
    </xdr:from>
    <xdr:to>
      <xdr:col>21</xdr:col>
      <xdr:colOff>850900</xdr:colOff>
      <xdr:row>97</xdr:row>
      <xdr:rowOff>57150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3</xdr:row>
      <xdr:rowOff>152400</xdr:rowOff>
    </xdr:from>
    <xdr:to>
      <xdr:col>21</xdr:col>
      <xdr:colOff>857250</xdr:colOff>
      <xdr:row>17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438150</xdr:colOff>
      <xdr:row>33</xdr:row>
      <xdr:rowOff>38100</xdr:rowOff>
    </xdr:from>
    <xdr:to>
      <xdr:col>22</xdr:col>
      <xdr:colOff>457200</xdr:colOff>
      <xdr:row>47</xdr:row>
      <xdr:rowOff>114299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758826</xdr:colOff>
      <xdr:row>34</xdr:row>
      <xdr:rowOff>190499</xdr:rowOff>
    </xdr:from>
    <xdr:to>
      <xdr:col>21</xdr:col>
      <xdr:colOff>857250</xdr:colOff>
      <xdr:row>55</xdr:row>
      <xdr:rowOff>28574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95250</xdr:colOff>
      <xdr:row>3</xdr:row>
      <xdr:rowOff>152400</xdr:rowOff>
    </xdr:from>
    <xdr:to>
      <xdr:col>21</xdr:col>
      <xdr:colOff>857250</xdr:colOff>
      <xdr:row>17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241300</xdr:colOff>
      <xdr:row>36</xdr:row>
      <xdr:rowOff>171449</xdr:rowOff>
    </xdr:from>
    <xdr:to>
      <xdr:col>30</xdr:col>
      <xdr:colOff>479425</xdr:colOff>
      <xdr:row>52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301625</xdr:colOff>
      <xdr:row>55</xdr:row>
      <xdr:rowOff>38100</xdr:rowOff>
    </xdr:from>
    <xdr:to>
      <xdr:col>30</xdr:col>
      <xdr:colOff>539750</xdr:colOff>
      <xdr:row>70</xdr:row>
      <xdr:rowOff>120650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288925</xdr:colOff>
      <xdr:row>17</xdr:row>
      <xdr:rowOff>95251</xdr:rowOff>
    </xdr:from>
    <xdr:to>
      <xdr:col>30</xdr:col>
      <xdr:colOff>527050</xdr:colOff>
      <xdr:row>33</xdr:row>
      <xdr:rowOff>133351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22225</xdr:colOff>
      <xdr:row>3</xdr:row>
      <xdr:rowOff>22227</xdr:rowOff>
    </xdr:from>
    <xdr:to>
      <xdr:col>22</xdr:col>
      <xdr:colOff>15875</xdr:colOff>
      <xdr:row>16</xdr:row>
      <xdr:rowOff>161925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438150</xdr:colOff>
      <xdr:row>29</xdr:row>
      <xdr:rowOff>161925</xdr:rowOff>
    </xdr:from>
    <xdr:to>
      <xdr:col>22</xdr:col>
      <xdr:colOff>457200</xdr:colOff>
      <xdr:row>45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152400</xdr:colOff>
      <xdr:row>3</xdr:row>
      <xdr:rowOff>107952</xdr:rowOff>
    </xdr:from>
    <xdr:to>
      <xdr:col>29</xdr:col>
      <xdr:colOff>314326</xdr:colOff>
      <xdr:row>16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533400</xdr:colOff>
      <xdr:row>27</xdr:row>
      <xdr:rowOff>38100</xdr:rowOff>
    </xdr:from>
    <xdr:to>
      <xdr:col>32</xdr:col>
      <xdr:colOff>552450</xdr:colOff>
      <xdr:row>42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428626</xdr:colOff>
      <xdr:row>3</xdr:row>
      <xdr:rowOff>85725</xdr:rowOff>
    </xdr:from>
    <xdr:to>
      <xdr:col>32</xdr:col>
      <xdr:colOff>523876</xdr:colOff>
      <xdr:row>16</xdr:row>
      <xdr:rowOff>111123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533400</xdr:colOff>
      <xdr:row>54</xdr:row>
      <xdr:rowOff>38100</xdr:rowOff>
    </xdr:from>
    <xdr:to>
      <xdr:col>32</xdr:col>
      <xdr:colOff>552450</xdr:colOff>
      <xdr:row>69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EC7969B-0AD0-1E40-B162-4A761C8BF4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495300</xdr:colOff>
      <xdr:row>14</xdr:row>
      <xdr:rowOff>85725</xdr:rowOff>
    </xdr:from>
    <xdr:to>
      <xdr:col>22</xdr:col>
      <xdr:colOff>638175</xdr:colOff>
      <xdr:row>32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FF99"/>
    <pageSetUpPr fitToPage="1"/>
  </sheetPr>
  <dimension ref="A1:C24"/>
  <sheetViews>
    <sheetView tabSelected="1" workbookViewId="0">
      <selection activeCell="M19" sqref="M19"/>
    </sheetView>
  </sheetViews>
  <sheetFormatPr defaultColWidth="9.140625" defaultRowHeight="15" x14ac:dyDescent="0.25"/>
  <cols>
    <col min="1" max="1" width="24.42578125" customWidth="1"/>
    <col min="2" max="2" width="29.140625" bestFit="1" customWidth="1"/>
    <col min="3" max="3" width="65.42578125" bestFit="1" customWidth="1"/>
  </cols>
  <sheetData>
    <row r="1" spans="1:3" ht="24" thickBot="1" x14ac:dyDescent="0.4">
      <c r="A1" s="33" t="s">
        <v>236</v>
      </c>
      <c r="B1" s="34"/>
      <c r="C1" s="34"/>
    </row>
    <row r="2" spans="1:3" ht="15.75" thickTop="1" x14ac:dyDescent="0.25"/>
    <row r="3" spans="1:3" ht="19.5" x14ac:dyDescent="0.3">
      <c r="A3" s="32" t="s">
        <v>14</v>
      </c>
    </row>
    <row r="4" spans="1:3" s="1" customFormat="1" x14ac:dyDescent="0.25">
      <c r="A4" s="2" t="s">
        <v>9</v>
      </c>
      <c r="B4" s="3"/>
      <c r="C4" s="4"/>
    </row>
    <row r="5" spans="1:3" x14ac:dyDescent="0.25">
      <c r="A5" s="5" t="s">
        <v>10</v>
      </c>
      <c r="B5" s="6"/>
      <c r="C5" s="7"/>
    </row>
    <row r="6" spans="1:3" x14ac:dyDescent="0.25">
      <c r="A6" s="5" t="s">
        <v>11</v>
      </c>
      <c r="B6" s="6"/>
      <c r="C6" s="7"/>
    </row>
    <row r="7" spans="1:3" x14ac:dyDescent="0.25">
      <c r="A7" s="5"/>
      <c r="B7" s="6"/>
      <c r="C7" s="7"/>
    </row>
    <row r="8" spans="1:3" x14ac:dyDescent="0.25">
      <c r="A8" s="12" t="s">
        <v>0</v>
      </c>
      <c r="B8" s="13" t="s">
        <v>1</v>
      </c>
      <c r="C8" s="48" t="s">
        <v>2</v>
      </c>
    </row>
    <row r="9" spans="1:3" x14ac:dyDescent="0.25">
      <c r="A9" s="16" t="s">
        <v>21</v>
      </c>
      <c r="B9" s="109"/>
      <c r="C9" s="15" t="s">
        <v>12</v>
      </c>
    </row>
    <row r="10" spans="1:3" x14ac:dyDescent="0.25">
      <c r="A10" s="16"/>
      <c r="B10" s="14"/>
      <c r="C10" s="15"/>
    </row>
    <row r="11" spans="1:3" x14ac:dyDescent="0.25">
      <c r="A11" s="16" t="s">
        <v>3</v>
      </c>
      <c r="B11" s="108"/>
      <c r="C11" s="15" t="s">
        <v>20</v>
      </c>
    </row>
    <row r="12" spans="1:3" x14ac:dyDescent="0.25">
      <c r="A12" s="16"/>
      <c r="B12" s="14"/>
      <c r="C12" s="15"/>
    </row>
    <row r="13" spans="1:3" x14ac:dyDescent="0.25">
      <c r="A13" s="16" t="s">
        <v>4</v>
      </c>
      <c r="C13" s="49" t="s">
        <v>5</v>
      </c>
    </row>
    <row r="14" spans="1:3" x14ac:dyDescent="0.25">
      <c r="A14" s="17"/>
      <c r="B14" s="14"/>
      <c r="C14" s="15" t="s">
        <v>6</v>
      </c>
    </row>
    <row r="15" spans="1:3" x14ac:dyDescent="0.25">
      <c r="A15" s="18"/>
      <c r="B15" s="19"/>
      <c r="C15" s="20"/>
    </row>
    <row r="17" spans="1:3" ht="19.5" x14ac:dyDescent="0.3">
      <c r="A17" s="32" t="s">
        <v>13</v>
      </c>
    </row>
    <row r="18" spans="1:3" x14ac:dyDescent="0.25">
      <c r="A18" s="21"/>
      <c r="B18" s="22"/>
      <c r="C18" s="23"/>
    </row>
    <row r="19" spans="1:3" ht="15.75" x14ac:dyDescent="0.25">
      <c r="A19" s="24" t="s">
        <v>7</v>
      </c>
      <c r="B19" s="301" t="s">
        <v>258</v>
      </c>
      <c r="C19" s="9"/>
    </row>
    <row r="20" spans="1:3" x14ac:dyDescent="0.25">
      <c r="A20" s="10"/>
      <c r="B20" s="8"/>
      <c r="C20" s="9"/>
    </row>
    <row r="21" spans="1:3" ht="15.75" x14ac:dyDescent="0.25">
      <c r="A21" s="24" t="s">
        <v>8</v>
      </c>
      <c r="B21" s="305">
        <v>43831</v>
      </c>
      <c r="C21" s="9"/>
    </row>
    <row r="22" spans="1:3" x14ac:dyDescent="0.25">
      <c r="A22" s="10"/>
      <c r="B22" s="8"/>
      <c r="C22" s="9"/>
    </row>
    <row r="23" spans="1:3" ht="15.75" x14ac:dyDescent="0.25">
      <c r="A23" s="24" t="s">
        <v>16</v>
      </c>
      <c r="B23" s="110" t="s">
        <v>147</v>
      </c>
      <c r="C23" s="9"/>
    </row>
    <row r="24" spans="1:3" x14ac:dyDescent="0.25">
      <c r="A24" s="11"/>
      <c r="B24" s="47"/>
      <c r="C24" s="50"/>
    </row>
  </sheetData>
  <pageMargins left="0.7" right="0.7" top="0.75" bottom="0.75" header="0.3" footer="0.3"/>
  <pageSetup paperSize="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4" tint="0.39997558519241921"/>
    <pageSetUpPr fitToPage="1"/>
  </sheetPr>
  <dimension ref="A1:X56"/>
  <sheetViews>
    <sheetView workbookViewId="0">
      <selection activeCell="G50" sqref="G50"/>
    </sheetView>
  </sheetViews>
  <sheetFormatPr defaultColWidth="8.85546875" defaultRowHeight="15" x14ac:dyDescent="0.25"/>
  <cols>
    <col min="1" max="1" width="20.140625" customWidth="1"/>
    <col min="2" max="5" width="14.42578125" customWidth="1"/>
    <col min="6" max="6" width="15.42578125" customWidth="1"/>
    <col min="7" max="9" width="14.42578125" customWidth="1"/>
    <col min="10" max="10" width="10.85546875" customWidth="1"/>
    <col min="11" max="11" width="14.140625" customWidth="1"/>
    <col min="12" max="12" width="14.42578125" bestFit="1" customWidth="1"/>
    <col min="13" max="13" width="15.42578125" bestFit="1" customWidth="1"/>
    <col min="14" max="14" width="13.85546875" customWidth="1"/>
    <col min="15" max="15" width="10.85546875" bestFit="1" customWidth="1"/>
    <col min="16" max="16" width="3.85546875" customWidth="1"/>
    <col min="17" max="23" width="14.42578125" customWidth="1"/>
    <col min="24" max="24" width="3.85546875" customWidth="1"/>
  </cols>
  <sheetData>
    <row r="1" spans="1:24" ht="24.75" thickTop="1" thickBot="1" x14ac:dyDescent="0.4">
      <c r="A1" s="33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260" t="str">
        <f>CompanyName &amp;" Revenue Forecast"</f>
        <v>WorkHorse Inc. Revenue Forecast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"Revenues ("&amp;SubHeader&amp;")"</f>
        <v>Revenues (USD)</v>
      </c>
      <c r="B2" s="86"/>
      <c r="C2" s="28"/>
      <c r="D2" s="28"/>
      <c r="P2" s="199"/>
      <c r="X2" s="200"/>
    </row>
    <row r="3" spans="1:24" ht="17.25" x14ac:dyDescent="0.3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 t="s">
        <v>198</v>
      </c>
      <c r="X3" s="200"/>
    </row>
    <row r="4" spans="1:24" ht="19.5" x14ac:dyDescent="0.3">
      <c r="A4" s="32" t="s">
        <v>18</v>
      </c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X4" s="200"/>
    </row>
    <row r="5" spans="1:24" s="39" customFormat="1" ht="15.75" x14ac:dyDescent="0.25">
      <c r="B5" s="103" t="s">
        <v>254</v>
      </c>
      <c r="C5" s="332" t="s">
        <v>22</v>
      </c>
      <c r="D5" s="332"/>
      <c r="E5" s="333"/>
      <c r="F5" s="104" t="s">
        <v>255</v>
      </c>
      <c r="G5" s="332" t="s">
        <v>22</v>
      </c>
      <c r="H5" s="332"/>
      <c r="I5" s="333"/>
      <c r="J5" s="104" t="s">
        <v>19</v>
      </c>
      <c r="K5" s="332" t="s">
        <v>22</v>
      </c>
      <c r="L5" s="332"/>
      <c r="M5" s="333"/>
      <c r="P5" s="256"/>
      <c r="X5" s="257"/>
    </row>
    <row r="6" spans="1:24" x14ac:dyDescent="0.25">
      <c r="A6" s="41" t="s">
        <v>23</v>
      </c>
      <c r="B6" s="102">
        <v>2020</v>
      </c>
      <c r="C6" s="321"/>
      <c r="D6" s="321"/>
      <c r="E6" s="322"/>
      <c r="F6" s="106">
        <v>2020</v>
      </c>
      <c r="G6" s="321"/>
      <c r="H6" s="321"/>
      <c r="I6" s="322"/>
      <c r="J6" s="106"/>
      <c r="K6" s="321"/>
      <c r="L6" s="321"/>
      <c r="M6" s="322"/>
      <c r="P6" s="199"/>
      <c r="X6" s="200"/>
    </row>
    <row r="7" spans="1:24" ht="15" customHeight="1" x14ac:dyDescent="0.25">
      <c r="A7" s="289" t="s">
        <v>229</v>
      </c>
      <c r="B7" s="101">
        <v>1000000000</v>
      </c>
      <c r="C7" s="321"/>
      <c r="D7" s="321"/>
      <c r="E7" s="322"/>
      <c r="F7" s="105">
        <v>500000000</v>
      </c>
      <c r="G7" s="321"/>
      <c r="H7" s="321"/>
      <c r="I7" s="322"/>
      <c r="J7" s="105"/>
      <c r="K7" s="321"/>
      <c r="L7" s="321"/>
      <c r="M7" s="322"/>
      <c r="P7" s="199"/>
      <c r="X7" s="200"/>
    </row>
    <row r="8" spans="1:24" ht="15" customHeight="1" x14ac:dyDescent="0.25">
      <c r="A8" s="289" t="s">
        <v>231</v>
      </c>
      <c r="B8" s="294">
        <v>0.1</v>
      </c>
      <c r="C8" s="321"/>
      <c r="D8" s="321"/>
      <c r="E8" s="322"/>
      <c r="F8" s="290">
        <v>0.1</v>
      </c>
      <c r="G8" s="321"/>
      <c r="H8" s="321"/>
      <c r="I8" s="322"/>
      <c r="J8" s="105"/>
      <c r="K8" s="46"/>
      <c r="L8" s="46"/>
      <c r="M8" s="283"/>
      <c r="P8" s="199"/>
      <c r="X8" s="200"/>
    </row>
    <row r="9" spans="1:24" ht="15" customHeight="1" x14ac:dyDescent="0.25">
      <c r="A9" s="41" t="s">
        <v>230</v>
      </c>
      <c r="B9" s="101">
        <v>100000000</v>
      </c>
      <c r="C9" s="321"/>
      <c r="D9" s="321"/>
      <c r="E9" s="322"/>
      <c r="F9" s="105">
        <v>50000000</v>
      </c>
      <c r="G9" s="321"/>
      <c r="H9" s="321"/>
      <c r="I9" s="322"/>
      <c r="J9" s="105"/>
      <c r="K9" s="321"/>
      <c r="L9" s="321"/>
      <c r="M9" s="322"/>
      <c r="P9" s="199"/>
      <c r="X9" s="200"/>
    </row>
    <row r="10" spans="1:24" ht="14.45" customHeight="1" x14ac:dyDescent="0.25">
      <c r="A10" s="42" t="s">
        <v>17</v>
      </c>
      <c r="B10" s="112">
        <v>0.3</v>
      </c>
      <c r="C10" s="318" t="s">
        <v>262</v>
      </c>
      <c r="D10" s="318"/>
      <c r="E10" s="319"/>
      <c r="F10" s="113">
        <v>0.35</v>
      </c>
      <c r="G10" s="318" t="s">
        <v>262</v>
      </c>
      <c r="H10" s="318"/>
      <c r="I10" s="319"/>
      <c r="J10" s="113"/>
      <c r="K10" s="318"/>
      <c r="L10" s="318"/>
      <c r="M10" s="319"/>
      <c r="P10" s="199"/>
      <c r="X10" s="200"/>
    </row>
    <row r="11" spans="1:24" x14ac:dyDescent="0.25">
      <c r="B11" s="25"/>
      <c r="C11" s="29"/>
      <c r="D11" s="29"/>
      <c r="E11" s="29"/>
      <c r="F11" s="29"/>
      <c r="G11" s="29"/>
      <c r="H11" s="30"/>
      <c r="I11" s="30"/>
      <c r="J11" s="30"/>
      <c r="K11" s="30"/>
      <c r="L11" s="30"/>
      <c r="M11" s="30"/>
      <c r="N11" s="30"/>
      <c r="P11" s="199"/>
      <c r="X11" s="200"/>
    </row>
    <row r="12" spans="1:24" x14ac:dyDescent="0.25">
      <c r="B12" s="25"/>
      <c r="C12" s="29"/>
      <c r="D12" s="29"/>
      <c r="E12" s="29"/>
      <c r="F12" s="29"/>
      <c r="G12" s="29"/>
      <c r="H12" s="30"/>
      <c r="I12" s="30"/>
      <c r="J12" s="30"/>
      <c r="K12" s="30"/>
      <c r="L12" s="30"/>
      <c r="M12" s="30"/>
      <c r="N12" s="30"/>
      <c r="P12" s="199"/>
      <c r="X12" s="200"/>
    </row>
    <row r="13" spans="1:24" ht="19.5" x14ac:dyDescent="0.3">
      <c r="A13" s="35" t="s">
        <v>216</v>
      </c>
      <c r="P13" s="199"/>
      <c r="X13" s="200"/>
    </row>
    <row r="14" spans="1:24" ht="19.5" x14ac:dyDescent="0.3">
      <c r="A14" s="35"/>
      <c r="B14" s="306" t="s">
        <v>219</v>
      </c>
      <c r="C14" s="307"/>
      <c r="D14" s="307"/>
      <c r="E14" s="307"/>
      <c r="F14" s="307"/>
      <c r="G14" s="307"/>
      <c r="H14" s="307"/>
      <c r="I14" s="308"/>
      <c r="J14" s="281"/>
      <c r="K14" s="309" t="s">
        <v>218</v>
      </c>
      <c r="L14" s="310"/>
      <c r="M14" s="310"/>
      <c r="N14" s="311"/>
      <c r="P14" s="199"/>
      <c r="X14" s="200"/>
    </row>
    <row r="15" spans="1:24" x14ac:dyDescent="0.25">
      <c r="A15" s="31"/>
      <c r="B15" s="312" t="s">
        <v>193</v>
      </c>
      <c r="C15" s="313"/>
      <c r="D15" s="313"/>
      <c r="E15" s="314"/>
      <c r="F15" s="315" t="s">
        <v>194</v>
      </c>
      <c r="G15" s="313"/>
      <c r="H15" s="313"/>
      <c r="I15" s="316"/>
      <c r="J15" s="281"/>
      <c r="K15" s="97" t="s">
        <v>135</v>
      </c>
      <c r="L15" s="98" t="s">
        <v>136</v>
      </c>
      <c r="M15" s="98" t="s">
        <v>137</v>
      </c>
      <c r="N15" s="99" t="s">
        <v>225</v>
      </c>
      <c r="P15" s="199"/>
      <c r="X15" s="200"/>
    </row>
    <row r="16" spans="1:24" x14ac:dyDescent="0.25">
      <c r="A16" s="158"/>
      <c r="B16" s="156">
        <f>StartDate</f>
        <v>43831</v>
      </c>
      <c r="C16" s="61">
        <f>EDATE(B16,3)</f>
        <v>43922</v>
      </c>
      <c r="D16" s="61">
        <f t="shared" ref="D16" si="0">EDATE(C16,3)</f>
        <v>44013</v>
      </c>
      <c r="E16" s="61">
        <f t="shared" ref="E16" si="1">EDATE(D16,3)</f>
        <v>44105</v>
      </c>
      <c r="F16" s="61">
        <f t="shared" ref="F16" si="2">EDATE(E16,3)</f>
        <v>44197</v>
      </c>
      <c r="G16" s="61">
        <f t="shared" ref="G16" si="3">EDATE(F16,3)</f>
        <v>44287</v>
      </c>
      <c r="H16" s="61">
        <f t="shared" ref="H16" si="4">EDATE(G16,3)</f>
        <v>44378</v>
      </c>
      <c r="I16" s="61">
        <f t="shared" ref="I16" si="5">EDATE(H16,3)</f>
        <v>44470</v>
      </c>
      <c r="J16" s="281"/>
      <c r="K16" s="61">
        <f>EDATE(I16,3)</f>
        <v>44562</v>
      </c>
      <c r="L16" s="61">
        <f t="shared" ref="L16" si="6">EDATE(K16,12)</f>
        <v>44927</v>
      </c>
      <c r="M16" s="61">
        <f t="shared" ref="M16" si="7">EDATE(L16,12)</f>
        <v>45292</v>
      </c>
      <c r="N16" s="157">
        <f t="shared" ref="N16" si="8">EDATE(M16,12)</f>
        <v>45658</v>
      </c>
      <c r="P16" s="199"/>
      <c r="X16" s="200"/>
    </row>
    <row r="17" spans="1:24" x14ac:dyDescent="0.25">
      <c r="A17" s="36" t="str">
        <f>$B$5</f>
        <v>Market 1</v>
      </c>
      <c r="B17" s="94">
        <f t="shared" ref="B17:I17" si="9">$B$9*((1+$B$10)^(YEAR(B41)-$B$6))/4</f>
        <v>25000000</v>
      </c>
      <c r="C17" s="87">
        <f t="shared" si="9"/>
        <v>25000000</v>
      </c>
      <c r="D17" s="87">
        <f t="shared" si="9"/>
        <v>25000000</v>
      </c>
      <c r="E17" s="87">
        <f t="shared" si="9"/>
        <v>25000000</v>
      </c>
      <c r="F17" s="87">
        <f t="shared" si="9"/>
        <v>32500000</v>
      </c>
      <c r="G17" s="87">
        <f t="shared" si="9"/>
        <v>32500000</v>
      </c>
      <c r="H17" s="87">
        <f t="shared" si="9"/>
        <v>32500000</v>
      </c>
      <c r="I17" s="90">
        <f t="shared" si="9"/>
        <v>32500000</v>
      </c>
      <c r="J17" s="281"/>
      <c r="K17" s="94">
        <f>$B$9*((1+$B$10)^(YEAR(K41)-$B$6))</f>
        <v>169000000.00000003</v>
      </c>
      <c r="L17" s="87">
        <f>$B$9*((1+$B$10)^(YEAR(L41)-$B$6))</f>
        <v>219700000.00000006</v>
      </c>
      <c r="M17" s="87">
        <f>$B$9*((1+$B$10)^(YEAR(M41)-$B$6))</f>
        <v>285610000.00000006</v>
      </c>
      <c r="N17" s="90">
        <f>$B$9*((1+$B$10)^(YEAR(N41)-$B$6))</f>
        <v>371293000.00000012</v>
      </c>
      <c r="P17" s="199"/>
      <c r="X17" s="200"/>
    </row>
    <row r="18" spans="1:24" ht="15.75" thickBot="1" x14ac:dyDescent="0.3">
      <c r="A18" s="36" t="str">
        <f>$F$5</f>
        <v>Market 2</v>
      </c>
      <c r="B18" s="94">
        <f t="shared" ref="B18:I18" si="10">$F$9*((1+$F$10)^(YEAR(B41)-$F$6))/4</f>
        <v>12500000</v>
      </c>
      <c r="C18" s="87">
        <f t="shared" si="10"/>
        <v>12500000</v>
      </c>
      <c r="D18" s="87">
        <f t="shared" si="10"/>
        <v>12500000</v>
      </c>
      <c r="E18" s="87">
        <f t="shared" si="10"/>
        <v>12500000</v>
      </c>
      <c r="F18" s="87">
        <f t="shared" si="10"/>
        <v>16875000</v>
      </c>
      <c r="G18" s="87">
        <f t="shared" si="10"/>
        <v>16875000</v>
      </c>
      <c r="H18" s="87">
        <f t="shared" si="10"/>
        <v>16875000</v>
      </c>
      <c r="I18" s="90">
        <f t="shared" si="10"/>
        <v>16875000</v>
      </c>
      <c r="J18" s="281"/>
      <c r="K18" s="94">
        <f>$F$9*((1+$F$10)^(YEAR(K41)-$F$6))</f>
        <v>91125000.000000015</v>
      </c>
      <c r="L18" s="87">
        <f>$F$9*((1+$F$10)^(YEAR(L41)-$F$6))</f>
        <v>123018750.00000001</v>
      </c>
      <c r="M18" s="87">
        <f>$F$9*((1+$F$10)^(YEAR(M41)-$F$6))</f>
        <v>166075312.50000006</v>
      </c>
      <c r="N18" s="90">
        <f>$F$9*((1+$F$10)^(YEAR(N41)-$F$6))</f>
        <v>224201671.87500009</v>
      </c>
      <c r="P18" s="136"/>
      <c r="Q18" s="137"/>
      <c r="R18" s="137"/>
      <c r="S18" s="137"/>
      <c r="T18" s="137"/>
      <c r="U18" s="137"/>
      <c r="V18" s="137"/>
      <c r="W18" s="137"/>
      <c r="X18" s="138"/>
    </row>
    <row r="19" spans="1:24" ht="16.5" thickTop="1" thickBot="1" x14ac:dyDescent="0.3">
      <c r="A19" s="37" t="str">
        <f>$J$5</f>
        <v>Market 3</v>
      </c>
      <c r="B19" s="95">
        <f t="shared" ref="B19:I19" si="11">$J$9*((1+$J$10)^(YEAR(B41)-$J$6))/4</f>
        <v>0</v>
      </c>
      <c r="C19" s="88">
        <f t="shared" si="11"/>
        <v>0</v>
      </c>
      <c r="D19" s="88">
        <f t="shared" si="11"/>
        <v>0</v>
      </c>
      <c r="E19" s="88">
        <f t="shared" si="11"/>
        <v>0</v>
      </c>
      <c r="F19" s="88">
        <f t="shared" si="11"/>
        <v>0</v>
      </c>
      <c r="G19" s="88">
        <f t="shared" si="11"/>
        <v>0</v>
      </c>
      <c r="H19" s="88">
        <f t="shared" si="11"/>
        <v>0</v>
      </c>
      <c r="I19" s="91">
        <f t="shared" si="11"/>
        <v>0</v>
      </c>
      <c r="J19" s="281"/>
      <c r="K19" s="95">
        <f>$J$9*((1+$J$10)^(YEAR(K41)-$J$6))</f>
        <v>0</v>
      </c>
      <c r="L19" s="88">
        <f>$J$9*((1+$J$10)^(YEAR(L41)-$J$6))</f>
        <v>0</v>
      </c>
      <c r="M19" s="88">
        <f>$J$9*((1+$J$10)^(YEAR(M41)-$J$6))</f>
        <v>0</v>
      </c>
      <c r="N19" s="91">
        <f>$J$9*((1+$J$10)^(YEAR(N41)-$J$6))</f>
        <v>0</v>
      </c>
      <c r="P19" s="258"/>
      <c r="Q19" s="259"/>
      <c r="R19" s="259"/>
      <c r="S19" s="259"/>
      <c r="T19" s="259"/>
      <c r="U19" s="259"/>
      <c r="V19" s="259"/>
      <c r="W19" s="259"/>
      <c r="X19" s="255"/>
    </row>
    <row r="20" spans="1:24" ht="18" thickTop="1" x14ac:dyDescent="0.3">
      <c r="B20" s="25"/>
      <c r="C20" s="29"/>
      <c r="D20" s="29"/>
      <c r="E20" s="29"/>
      <c r="F20" s="29"/>
      <c r="G20" s="29"/>
      <c r="H20" s="30"/>
      <c r="I20" s="30"/>
      <c r="J20" s="30"/>
      <c r="K20" s="30"/>
      <c r="L20" s="30"/>
      <c r="M20" s="30"/>
      <c r="N20" s="30"/>
      <c r="P20" s="199"/>
      <c r="Q20" s="253" t="s">
        <v>199</v>
      </c>
      <c r="X20" s="200"/>
    </row>
    <row r="21" spans="1:24" ht="19.5" x14ac:dyDescent="0.3">
      <c r="A21" s="35" t="s">
        <v>232</v>
      </c>
      <c r="P21" s="199"/>
      <c r="Q21" s="253"/>
      <c r="X21" s="200"/>
    </row>
    <row r="22" spans="1:24" ht="19.5" x14ac:dyDescent="0.3">
      <c r="A22" s="35"/>
      <c r="B22" s="306" t="s">
        <v>233</v>
      </c>
      <c r="C22" s="307"/>
      <c r="D22" s="307"/>
      <c r="E22" s="307"/>
      <c r="F22" s="307"/>
      <c r="G22" s="307"/>
      <c r="H22" s="307"/>
      <c r="I22" s="308"/>
      <c r="J22" s="281"/>
      <c r="K22" s="309" t="s">
        <v>234</v>
      </c>
      <c r="L22" s="310"/>
      <c r="M22" s="310"/>
      <c r="N22" s="311"/>
      <c r="P22" s="199"/>
      <c r="R22" s="329" t="s">
        <v>200</v>
      </c>
      <c r="S22" s="330"/>
      <c r="T22" s="330"/>
      <c r="U22" s="330"/>
      <c r="V22" s="330"/>
      <c r="W22" s="331"/>
      <c r="X22" s="200"/>
    </row>
    <row r="23" spans="1:24" x14ac:dyDescent="0.25">
      <c r="A23" s="31"/>
      <c r="B23" s="312" t="s">
        <v>193</v>
      </c>
      <c r="C23" s="313"/>
      <c r="D23" s="313"/>
      <c r="E23" s="314"/>
      <c r="F23" s="315" t="s">
        <v>194</v>
      </c>
      <c r="G23" s="313"/>
      <c r="H23" s="313"/>
      <c r="I23" s="316"/>
      <c r="J23" s="281"/>
      <c r="K23" s="97" t="s">
        <v>135</v>
      </c>
      <c r="L23" s="98" t="s">
        <v>136</v>
      </c>
      <c r="M23" s="98" t="s">
        <v>137</v>
      </c>
      <c r="N23" s="99" t="s">
        <v>225</v>
      </c>
      <c r="P23" s="199"/>
      <c r="R23" s="97" t="s">
        <v>193</v>
      </c>
      <c r="S23" s="98" t="s">
        <v>194</v>
      </c>
      <c r="T23" s="98" t="s">
        <v>135</v>
      </c>
      <c r="U23" s="98" t="s">
        <v>136</v>
      </c>
      <c r="V23" s="98" t="s">
        <v>137</v>
      </c>
      <c r="W23" s="99" t="s">
        <v>225</v>
      </c>
      <c r="X23" s="200"/>
    </row>
    <row r="24" spans="1:24" x14ac:dyDescent="0.25">
      <c r="A24" s="158"/>
      <c r="B24" s="156">
        <f>StartDate</f>
        <v>43831</v>
      </c>
      <c r="C24" s="61">
        <f>EDATE(B24,3)</f>
        <v>43922</v>
      </c>
      <c r="D24" s="61">
        <f t="shared" ref="D24" si="12">EDATE(C24,3)</f>
        <v>44013</v>
      </c>
      <c r="E24" s="61">
        <f t="shared" ref="E24" si="13">EDATE(D24,3)</f>
        <v>44105</v>
      </c>
      <c r="F24" s="61">
        <f t="shared" ref="F24" si="14">EDATE(E24,3)</f>
        <v>44197</v>
      </c>
      <c r="G24" s="61">
        <f t="shared" ref="G24" si="15">EDATE(F24,3)</f>
        <v>44287</v>
      </c>
      <c r="H24" s="61">
        <f t="shared" ref="H24" si="16">EDATE(G24,3)</f>
        <v>44378</v>
      </c>
      <c r="I24" s="61">
        <f t="shared" ref="I24" si="17">EDATE(H24,3)</f>
        <v>44470</v>
      </c>
      <c r="J24" s="281"/>
      <c r="K24" s="61">
        <f>EDATE(I24,3)</f>
        <v>44562</v>
      </c>
      <c r="L24" s="61">
        <f t="shared" ref="L24" si="18">EDATE(K24,12)</f>
        <v>44927</v>
      </c>
      <c r="M24" s="61">
        <f t="shared" ref="M24" si="19">EDATE(L24,12)</f>
        <v>45292</v>
      </c>
      <c r="N24" s="157">
        <f t="shared" ref="N24" si="20">EDATE(M24,12)</f>
        <v>45658</v>
      </c>
      <c r="P24" s="199"/>
      <c r="R24" s="93">
        <f>B41</f>
        <v>43831</v>
      </c>
      <c r="S24" s="52">
        <f>F41</f>
        <v>44197</v>
      </c>
      <c r="T24" s="52">
        <f>K41</f>
        <v>44562</v>
      </c>
      <c r="U24" s="52">
        <f t="shared" ref="U24" si="21">EDATE(T24,12)</f>
        <v>44927</v>
      </c>
      <c r="V24" s="52">
        <f t="shared" ref="V24" si="22">EDATE(U24,12)</f>
        <v>45292</v>
      </c>
      <c r="W24" s="96">
        <f t="shared" ref="W24" si="23">EDATE(V24,12)</f>
        <v>45658</v>
      </c>
      <c r="X24" s="200"/>
    </row>
    <row r="25" spans="1:24" x14ac:dyDescent="0.25">
      <c r="A25" s="36" t="str">
        <f>$B$5</f>
        <v>Market 1</v>
      </c>
      <c r="B25" s="114"/>
      <c r="C25" s="100"/>
      <c r="D25" s="100"/>
      <c r="E25" s="100"/>
      <c r="F25" s="100">
        <v>0.4</v>
      </c>
      <c r="G25" s="100">
        <v>0.4</v>
      </c>
      <c r="H25" s="100">
        <v>0.4</v>
      </c>
      <c r="I25" s="115">
        <v>0.4</v>
      </c>
      <c r="J25" s="281"/>
      <c r="K25" s="295">
        <v>0.5</v>
      </c>
      <c r="L25" s="296">
        <v>0.5</v>
      </c>
      <c r="M25" s="296">
        <v>0.5</v>
      </c>
      <c r="N25" s="297">
        <v>0.5</v>
      </c>
      <c r="P25" s="199"/>
      <c r="Q25" s="36" t="str">
        <f>A42</f>
        <v>Market 1</v>
      </c>
      <c r="R25" s="94">
        <f>SUM(B42:E42)</f>
        <v>0</v>
      </c>
      <c r="S25" s="87">
        <f>SUM(F42:I42)</f>
        <v>3900000</v>
      </c>
      <c r="T25" s="87">
        <f>K42</f>
        <v>8450000.0000000019</v>
      </c>
      <c r="U25" s="87">
        <f t="shared" ref="U25:W27" si="24">L42</f>
        <v>11534250.000000004</v>
      </c>
      <c r="V25" s="87">
        <f t="shared" si="24"/>
        <v>15744251.250000006</v>
      </c>
      <c r="W25" s="90">
        <f t="shared" si="24"/>
        <v>21490902.956250012</v>
      </c>
      <c r="X25" s="200"/>
    </row>
    <row r="26" spans="1:24" x14ac:dyDescent="0.25">
      <c r="A26" s="36" t="str">
        <f>$F$5</f>
        <v>Market 2</v>
      </c>
      <c r="B26" s="116"/>
      <c r="C26" s="107"/>
      <c r="D26" s="107"/>
      <c r="E26" s="107"/>
      <c r="F26" s="107"/>
      <c r="G26" s="107"/>
      <c r="H26" s="107"/>
      <c r="I26" s="117"/>
      <c r="J26" s="281"/>
      <c r="K26" s="298">
        <v>0.5</v>
      </c>
      <c r="L26" s="299">
        <v>0.5</v>
      </c>
      <c r="M26" s="299">
        <v>0.5</v>
      </c>
      <c r="N26" s="300">
        <v>0.5</v>
      </c>
      <c r="P26" s="199"/>
      <c r="Q26" s="36" t="str">
        <f>A43</f>
        <v>Market 2</v>
      </c>
      <c r="R26" s="94">
        <f>SUM(B43:E43)</f>
        <v>0</v>
      </c>
      <c r="S26" s="87">
        <f>SUM(F43:I43)</f>
        <v>0</v>
      </c>
      <c r="T26" s="87">
        <f>K43</f>
        <v>2278125.0000000005</v>
      </c>
      <c r="U26" s="87">
        <f t="shared" si="24"/>
        <v>3536789.0625</v>
      </c>
      <c r="V26" s="87">
        <f t="shared" si="24"/>
        <v>5490865.0195312509</v>
      </c>
      <c r="W26" s="90">
        <f t="shared" si="24"/>
        <v>8524567.9428222664</v>
      </c>
      <c r="X26" s="200"/>
    </row>
    <row r="27" spans="1:24" ht="15.75" thickBot="1" x14ac:dyDescent="0.3">
      <c r="A27" s="36" t="str">
        <f>$J$5</f>
        <v>Market 3</v>
      </c>
      <c r="B27" s="116"/>
      <c r="C27" s="107"/>
      <c r="D27" s="107"/>
      <c r="E27" s="107"/>
      <c r="F27" s="107"/>
      <c r="G27" s="107"/>
      <c r="H27" s="107"/>
      <c r="I27" s="117"/>
      <c r="J27" s="281"/>
      <c r="K27" s="116"/>
      <c r="L27" s="107"/>
      <c r="M27" s="107"/>
      <c r="N27" s="117"/>
      <c r="P27" s="199"/>
      <c r="Q27" s="36" t="str">
        <f>A44</f>
        <v>Market 3</v>
      </c>
      <c r="R27" s="95">
        <f>SUM(B44:E44)</f>
        <v>0</v>
      </c>
      <c r="S27" s="88">
        <f>SUM(F44:I44)</f>
        <v>0</v>
      </c>
      <c r="T27" s="88">
        <f>K44</f>
        <v>0</v>
      </c>
      <c r="U27" s="88">
        <f t="shared" si="24"/>
        <v>0</v>
      </c>
      <c r="V27" s="88">
        <f t="shared" si="24"/>
        <v>0</v>
      </c>
      <c r="W27" s="91">
        <f t="shared" si="24"/>
        <v>0</v>
      </c>
      <c r="X27" s="200"/>
    </row>
    <row r="28" spans="1:24" ht="15.75" thickTop="1" x14ac:dyDescent="0.25">
      <c r="B28" s="25"/>
      <c r="C28" s="29"/>
      <c r="D28" s="29"/>
      <c r="E28" s="29"/>
      <c r="F28" s="29"/>
      <c r="G28" s="29"/>
      <c r="H28" s="30"/>
      <c r="I28" s="30"/>
      <c r="J28" s="30"/>
      <c r="K28" s="30"/>
      <c r="L28" s="30"/>
      <c r="M28" s="30"/>
      <c r="N28" s="30"/>
      <c r="P28" s="199"/>
      <c r="R28" s="74">
        <f t="shared" ref="R28:W28" si="25">SUM(R25:R27)</f>
        <v>0</v>
      </c>
      <c r="S28" s="74">
        <f t="shared" si="25"/>
        <v>3900000</v>
      </c>
      <c r="T28" s="74">
        <f t="shared" si="25"/>
        <v>10728125.000000002</v>
      </c>
      <c r="U28" s="74">
        <f t="shared" si="25"/>
        <v>15071039.062500004</v>
      </c>
      <c r="V28" s="74">
        <f t="shared" si="25"/>
        <v>21235116.269531257</v>
      </c>
      <c r="W28" s="119">
        <f t="shared" si="25"/>
        <v>30015470.899072278</v>
      </c>
      <c r="X28" s="200"/>
    </row>
    <row r="29" spans="1:24" ht="19.5" x14ac:dyDescent="0.3">
      <c r="A29" s="35" t="s">
        <v>217</v>
      </c>
      <c r="P29" s="199"/>
      <c r="X29" s="200"/>
    </row>
    <row r="30" spans="1:24" ht="14.85" customHeight="1" x14ac:dyDescent="0.3">
      <c r="A30" s="35"/>
      <c r="B30" s="306" t="s">
        <v>143</v>
      </c>
      <c r="C30" s="307"/>
      <c r="D30" s="307"/>
      <c r="E30" s="307"/>
      <c r="F30" s="307"/>
      <c r="G30" s="307"/>
      <c r="H30" s="307"/>
      <c r="I30" s="308"/>
      <c r="J30" s="281"/>
      <c r="K30" s="309" t="s">
        <v>139</v>
      </c>
      <c r="L30" s="310"/>
      <c r="M30" s="310"/>
      <c r="N30" s="311"/>
      <c r="P30" s="199"/>
      <c r="X30" s="200"/>
    </row>
    <row r="31" spans="1:24" x14ac:dyDescent="0.25">
      <c r="A31" s="31"/>
      <c r="B31" s="312" t="s">
        <v>193</v>
      </c>
      <c r="C31" s="313"/>
      <c r="D31" s="313"/>
      <c r="E31" s="314"/>
      <c r="F31" s="315" t="s">
        <v>194</v>
      </c>
      <c r="G31" s="313"/>
      <c r="H31" s="313"/>
      <c r="I31" s="316"/>
      <c r="J31" s="281"/>
      <c r="K31" s="97" t="s">
        <v>135</v>
      </c>
      <c r="L31" s="98" t="s">
        <v>136</v>
      </c>
      <c r="M31" s="98" t="s">
        <v>137</v>
      </c>
      <c r="N31" s="99" t="s">
        <v>225</v>
      </c>
      <c r="P31" s="199"/>
      <c r="X31" s="200"/>
    </row>
    <row r="32" spans="1:24" x14ac:dyDescent="0.25">
      <c r="A32" s="158"/>
      <c r="B32" s="156">
        <f>StartDate</f>
        <v>43831</v>
      </c>
      <c r="C32" s="61">
        <f>EDATE(B32,3)</f>
        <v>43922</v>
      </c>
      <c r="D32" s="61">
        <f t="shared" ref="D32:I32" si="26">EDATE(C32,3)</f>
        <v>44013</v>
      </c>
      <c r="E32" s="61">
        <f t="shared" si="26"/>
        <v>44105</v>
      </c>
      <c r="F32" s="61">
        <f t="shared" si="26"/>
        <v>44197</v>
      </c>
      <c r="G32" s="61">
        <f t="shared" si="26"/>
        <v>44287</v>
      </c>
      <c r="H32" s="61">
        <f t="shared" si="26"/>
        <v>44378</v>
      </c>
      <c r="I32" s="61">
        <f t="shared" si="26"/>
        <v>44470</v>
      </c>
      <c r="J32" s="281"/>
      <c r="K32" s="61">
        <f>EDATE(I32,3)</f>
        <v>44562</v>
      </c>
      <c r="L32" s="61">
        <f t="shared" ref="L32:N32" si="27">EDATE(K32,12)</f>
        <v>44927</v>
      </c>
      <c r="M32" s="61">
        <f t="shared" si="27"/>
        <v>45292</v>
      </c>
      <c r="N32" s="157">
        <f t="shared" si="27"/>
        <v>45658</v>
      </c>
      <c r="P32" s="199"/>
      <c r="X32" s="200"/>
    </row>
    <row r="33" spans="1:24" x14ac:dyDescent="0.25">
      <c r="A33" s="36" t="str">
        <f>$B$5</f>
        <v>Market 1</v>
      </c>
      <c r="B33" s="295"/>
      <c r="C33" s="296"/>
      <c r="D33" s="296"/>
      <c r="E33" s="296"/>
      <c r="F33" s="296">
        <v>0.05</v>
      </c>
      <c r="G33" s="296">
        <v>0.05</v>
      </c>
      <c r="H33" s="296">
        <v>0.05</v>
      </c>
      <c r="I33" s="297">
        <v>0.05</v>
      </c>
      <c r="J33" s="281"/>
      <c r="K33" s="114">
        <v>0.1</v>
      </c>
      <c r="L33" s="100">
        <f>K33*1.05</f>
        <v>0.10500000000000001</v>
      </c>
      <c r="M33" s="100">
        <f t="shared" ref="M33:N33" si="28">L33*1.05</f>
        <v>0.11025000000000001</v>
      </c>
      <c r="N33" s="100">
        <f t="shared" si="28"/>
        <v>0.11576250000000002</v>
      </c>
      <c r="O33" s="291"/>
      <c r="P33" s="199"/>
      <c r="X33" s="200"/>
    </row>
    <row r="34" spans="1:24" x14ac:dyDescent="0.25">
      <c r="A34" s="36" t="str">
        <f>$F$5</f>
        <v>Market 2</v>
      </c>
      <c r="B34" s="298"/>
      <c r="C34" s="299"/>
      <c r="D34" s="299"/>
      <c r="E34" s="299"/>
      <c r="F34" s="299"/>
      <c r="G34" s="299"/>
      <c r="H34" s="299"/>
      <c r="I34" s="300"/>
      <c r="J34" s="281"/>
      <c r="K34" s="116">
        <v>0.05</v>
      </c>
      <c r="L34" s="107">
        <f>K34*1.15</f>
        <v>5.7499999999999996E-2</v>
      </c>
      <c r="M34" s="107">
        <f t="shared" ref="M34:N34" si="29">L34*1.15</f>
        <v>6.6124999999999989E-2</v>
      </c>
      <c r="N34" s="107">
        <f t="shared" si="29"/>
        <v>7.6043749999999979E-2</v>
      </c>
      <c r="O34" s="291"/>
      <c r="P34" s="199"/>
      <c r="X34" s="200"/>
    </row>
    <row r="35" spans="1:24" x14ac:dyDescent="0.25">
      <c r="A35" s="36" t="str">
        <f>$J$5</f>
        <v>Market 3</v>
      </c>
      <c r="B35" s="116"/>
      <c r="C35" s="107"/>
      <c r="D35" s="107"/>
      <c r="E35" s="107"/>
      <c r="F35" s="107"/>
      <c r="G35" s="107"/>
      <c r="H35" s="107"/>
      <c r="I35" s="117"/>
      <c r="J35" s="281"/>
      <c r="K35" s="116"/>
      <c r="L35" s="107"/>
      <c r="M35" s="107"/>
      <c r="N35" s="292"/>
      <c r="P35" s="199"/>
      <c r="X35" s="200"/>
    </row>
    <row r="36" spans="1:24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P36" s="199"/>
      <c r="X36" s="200"/>
    </row>
    <row r="37" spans="1:24" ht="17.45" customHeight="1" x14ac:dyDescent="0.25">
      <c r="P37" s="199"/>
      <c r="X37" s="200"/>
    </row>
    <row r="38" spans="1:24" ht="20.100000000000001" customHeight="1" x14ac:dyDescent="0.3">
      <c r="A38" s="35" t="s">
        <v>28</v>
      </c>
      <c r="P38" s="199"/>
      <c r="X38" s="200"/>
    </row>
    <row r="39" spans="1:24" ht="14.85" customHeight="1" x14ac:dyDescent="0.3">
      <c r="A39" s="35"/>
      <c r="B39" s="306" t="s">
        <v>144</v>
      </c>
      <c r="C39" s="307"/>
      <c r="D39" s="307"/>
      <c r="E39" s="307"/>
      <c r="F39" s="307"/>
      <c r="G39" s="307"/>
      <c r="H39" s="307"/>
      <c r="I39" s="308"/>
      <c r="J39" s="281"/>
      <c r="K39" s="309" t="s">
        <v>138</v>
      </c>
      <c r="L39" s="310"/>
      <c r="M39" s="310"/>
      <c r="N39" s="311"/>
      <c r="P39" s="199"/>
      <c r="X39" s="200"/>
    </row>
    <row r="40" spans="1:24" x14ac:dyDescent="0.25">
      <c r="A40" s="31"/>
      <c r="B40" s="312" t="s">
        <v>193</v>
      </c>
      <c r="C40" s="313"/>
      <c r="D40" s="313"/>
      <c r="E40" s="314"/>
      <c r="F40" s="315" t="s">
        <v>194</v>
      </c>
      <c r="G40" s="313"/>
      <c r="H40" s="313"/>
      <c r="I40" s="316"/>
      <c r="J40" s="281"/>
      <c r="K40" s="97" t="s">
        <v>135</v>
      </c>
      <c r="L40" s="98" t="s">
        <v>136</v>
      </c>
      <c r="M40" s="98" t="s">
        <v>137</v>
      </c>
      <c r="N40" s="99" t="s">
        <v>225</v>
      </c>
      <c r="P40" s="199"/>
      <c r="X40" s="200"/>
    </row>
    <row r="41" spans="1:24" x14ac:dyDescent="0.25">
      <c r="A41" s="51"/>
      <c r="B41" s="93">
        <f>StartDate</f>
        <v>43831</v>
      </c>
      <c r="C41" s="52">
        <f>EDATE(B41,3)</f>
        <v>43922</v>
      </c>
      <c r="D41" s="52">
        <f t="shared" ref="D41:I41" si="30">EDATE(C41,3)</f>
        <v>44013</v>
      </c>
      <c r="E41" s="52">
        <f t="shared" si="30"/>
        <v>44105</v>
      </c>
      <c r="F41" s="52">
        <f t="shared" si="30"/>
        <v>44197</v>
      </c>
      <c r="G41" s="52">
        <f t="shared" si="30"/>
        <v>44287</v>
      </c>
      <c r="H41" s="52">
        <f t="shared" si="30"/>
        <v>44378</v>
      </c>
      <c r="I41" s="52">
        <f t="shared" si="30"/>
        <v>44470</v>
      </c>
      <c r="J41" s="281"/>
      <c r="K41" s="52">
        <f>EDATE(I41,3)</f>
        <v>44562</v>
      </c>
      <c r="L41" s="52">
        <f t="shared" ref="L41:N41" si="31">EDATE(K41,12)</f>
        <v>44927</v>
      </c>
      <c r="M41" s="52">
        <f t="shared" si="31"/>
        <v>45292</v>
      </c>
      <c r="N41" s="96">
        <f t="shared" si="31"/>
        <v>45658</v>
      </c>
      <c r="P41" s="199"/>
      <c r="X41" s="200"/>
    </row>
    <row r="42" spans="1:24" x14ac:dyDescent="0.25">
      <c r="A42" s="36" t="str">
        <f>$B$5</f>
        <v>Market 1</v>
      </c>
      <c r="B42" s="94">
        <f>B17*(1-B25)*B33</f>
        <v>0</v>
      </c>
      <c r="C42" s="87">
        <f t="shared" ref="C42:N42" si="32">C17*(1-C25)*C33</f>
        <v>0</v>
      </c>
      <c r="D42" s="87">
        <f t="shared" si="32"/>
        <v>0</v>
      </c>
      <c r="E42" s="87">
        <f t="shared" si="32"/>
        <v>0</v>
      </c>
      <c r="F42" s="87">
        <f>F17*(1-F25)*F33</f>
        <v>975000</v>
      </c>
      <c r="G42" s="87">
        <f t="shared" si="32"/>
        <v>975000</v>
      </c>
      <c r="H42" s="87">
        <f t="shared" si="32"/>
        <v>975000</v>
      </c>
      <c r="I42" s="90">
        <f t="shared" si="32"/>
        <v>975000</v>
      </c>
      <c r="J42" s="281"/>
      <c r="K42" s="94">
        <f t="shared" si="32"/>
        <v>8450000.0000000019</v>
      </c>
      <c r="L42" s="87">
        <f t="shared" si="32"/>
        <v>11534250.000000004</v>
      </c>
      <c r="M42" s="87">
        <f t="shared" si="32"/>
        <v>15744251.250000006</v>
      </c>
      <c r="N42" s="90">
        <f t="shared" si="32"/>
        <v>21490902.956250012</v>
      </c>
      <c r="P42" s="199"/>
      <c r="X42" s="200"/>
    </row>
    <row r="43" spans="1:24" x14ac:dyDescent="0.25">
      <c r="A43" s="36" t="str">
        <f>$F$5</f>
        <v>Market 2</v>
      </c>
      <c r="B43" s="94">
        <f t="shared" ref="B43:N44" si="33">B18*(1-B26)*B34</f>
        <v>0</v>
      </c>
      <c r="C43" s="87">
        <f t="shared" si="33"/>
        <v>0</v>
      </c>
      <c r="D43" s="87">
        <f t="shared" si="33"/>
        <v>0</v>
      </c>
      <c r="E43" s="87">
        <f t="shared" si="33"/>
        <v>0</v>
      </c>
      <c r="F43" s="87">
        <f t="shared" si="33"/>
        <v>0</v>
      </c>
      <c r="G43" s="87">
        <f t="shared" si="33"/>
        <v>0</v>
      </c>
      <c r="H43" s="87">
        <f t="shared" si="33"/>
        <v>0</v>
      </c>
      <c r="I43" s="90">
        <f t="shared" si="33"/>
        <v>0</v>
      </c>
      <c r="J43" s="281"/>
      <c r="K43" s="94">
        <f t="shared" si="33"/>
        <v>2278125.0000000005</v>
      </c>
      <c r="L43" s="87">
        <f t="shared" si="33"/>
        <v>3536789.0625</v>
      </c>
      <c r="M43" s="87">
        <f t="shared" si="33"/>
        <v>5490865.0195312509</v>
      </c>
      <c r="N43" s="90">
        <f t="shared" si="33"/>
        <v>8524567.9428222664</v>
      </c>
      <c r="P43" s="199"/>
      <c r="X43" s="200"/>
    </row>
    <row r="44" spans="1:24" ht="15.75" customHeight="1" thickBot="1" x14ac:dyDescent="0.3">
      <c r="A44" s="37" t="str">
        <f>$J$5</f>
        <v>Market 3</v>
      </c>
      <c r="B44" s="95">
        <f t="shared" si="33"/>
        <v>0</v>
      </c>
      <c r="C44" s="88">
        <f t="shared" si="33"/>
        <v>0</v>
      </c>
      <c r="D44" s="88">
        <f t="shared" si="33"/>
        <v>0</v>
      </c>
      <c r="E44" s="88">
        <f t="shared" si="33"/>
        <v>0</v>
      </c>
      <c r="F44" s="88">
        <f t="shared" si="33"/>
        <v>0</v>
      </c>
      <c r="G44" s="88">
        <f t="shared" si="33"/>
        <v>0</v>
      </c>
      <c r="H44" s="88">
        <f t="shared" si="33"/>
        <v>0</v>
      </c>
      <c r="I44" s="91">
        <f t="shared" si="33"/>
        <v>0</v>
      </c>
      <c r="J44" s="281"/>
      <c r="K44" s="95">
        <f t="shared" si="33"/>
        <v>0</v>
      </c>
      <c r="L44" s="88">
        <f t="shared" si="33"/>
        <v>0</v>
      </c>
      <c r="M44" s="88">
        <f t="shared" si="33"/>
        <v>0</v>
      </c>
      <c r="N44" s="91">
        <f t="shared" si="33"/>
        <v>0</v>
      </c>
      <c r="P44" s="199"/>
      <c r="X44" s="200"/>
    </row>
    <row r="45" spans="1:24" ht="15.75" customHeight="1" thickTop="1" x14ac:dyDescent="0.25">
      <c r="A45" s="38" t="s">
        <v>15</v>
      </c>
      <c r="B45" s="118">
        <f>SUM(B42:B44)</f>
        <v>0</v>
      </c>
      <c r="C45" s="74">
        <f t="shared" ref="C45:N45" si="34">SUM(C42:C44)</f>
        <v>0</v>
      </c>
      <c r="D45" s="74">
        <f t="shared" si="34"/>
        <v>0</v>
      </c>
      <c r="E45" s="74">
        <f t="shared" si="34"/>
        <v>0</v>
      </c>
      <c r="F45" s="74">
        <f t="shared" si="34"/>
        <v>975000</v>
      </c>
      <c r="G45" s="74">
        <f t="shared" si="34"/>
        <v>975000</v>
      </c>
      <c r="H45" s="74">
        <f t="shared" si="34"/>
        <v>975000</v>
      </c>
      <c r="I45" s="119">
        <f t="shared" si="34"/>
        <v>975000</v>
      </c>
      <c r="J45" s="281"/>
      <c r="K45" s="118">
        <f t="shared" si="34"/>
        <v>10728125.000000002</v>
      </c>
      <c r="L45" s="74">
        <f t="shared" si="34"/>
        <v>15071039.062500004</v>
      </c>
      <c r="M45" s="74">
        <f t="shared" si="34"/>
        <v>21235116.269531257</v>
      </c>
      <c r="N45" s="119">
        <f t="shared" si="34"/>
        <v>30015470.899072278</v>
      </c>
      <c r="P45" s="199"/>
      <c r="X45" s="200"/>
    </row>
    <row r="46" spans="1:24" ht="15" customHeight="1" thickBot="1" x14ac:dyDescent="0.3">
      <c r="I46" s="268"/>
      <c r="J46" s="268"/>
      <c r="P46" s="136"/>
      <c r="Q46" s="137"/>
      <c r="R46" s="137"/>
      <c r="S46" s="137"/>
      <c r="T46" s="137"/>
      <c r="U46" s="137"/>
      <c r="V46" s="137"/>
      <c r="W46" s="137"/>
      <c r="X46" s="138"/>
    </row>
    <row r="47" spans="1:24" ht="15" customHeight="1" thickTop="1" x14ac:dyDescent="0.25"/>
    <row r="48" spans="1:24" ht="15" customHeight="1" x14ac:dyDescent="0.25">
      <c r="H48" s="252"/>
      <c r="I48" s="252"/>
      <c r="J48" s="252"/>
      <c r="K48" s="252"/>
      <c r="L48" s="252"/>
      <c r="M48" s="252"/>
      <c r="N48" s="252"/>
    </row>
    <row r="49" spans="8:14" ht="15" customHeight="1" x14ac:dyDescent="0.25">
      <c r="H49" s="252"/>
      <c r="I49" s="252"/>
      <c r="J49" s="252"/>
      <c r="K49" s="252"/>
      <c r="L49" s="252"/>
      <c r="M49" s="252"/>
      <c r="N49" s="252"/>
    </row>
    <row r="50" spans="8:14" x14ac:dyDescent="0.25">
      <c r="H50" s="252"/>
      <c r="I50" s="252"/>
      <c r="J50" s="252"/>
      <c r="K50" s="252"/>
      <c r="L50" s="252"/>
      <c r="M50" s="252"/>
      <c r="N50" s="252"/>
    </row>
    <row r="51" spans="8:14" x14ac:dyDescent="0.25">
      <c r="H51" s="252"/>
      <c r="I51" s="252"/>
      <c r="J51" s="252"/>
      <c r="K51" s="252"/>
      <c r="L51" s="252"/>
      <c r="M51" s="252"/>
      <c r="N51" s="252"/>
    </row>
    <row r="52" spans="8:14" x14ac:dyDescent="0.25">
      <c r="H52" s="252"/>
      <c r="I52" s="252"/>
      <c r="J52" s="252"/>
      <c r="K52" s="252"/>
      <c r="L52" s="252"/>
      <c r="M52" s="252"/>
      <c r="N52" s="252"/>
    </row>
    <row r="53" spans="8:14" x14ac:dyDescent="0.25">
      <c r="H53" s="252"/>
      <c r="I53" s="252"/>
      <c r="J53" s="252"/>
      <c r="K53" s="252"/>
      <c r="L53" s="252"/>
      <c r="M53" s="252"/>
      <c r="N53" s="252"/>
    </row>
    <row r="54" spans="8:14" x14ac:dyDescent="0.25">
      <c r="K54" s="252"/>
      <c r="L54" s="252"/>
      <c r="M54" s="252"/>
      <c r="N54" s="252"/>
    </row>
    <row r="55" spans="8:14" x14ac:dyDescent="0.25">
      <c r="K55" s="252"/>
      <c r="L55" s="252"/>
      <c r="M55" s="252"/>
      <c r="N55" s="252"/>
    </row>
    <row r="56" spans="8:14" x14ac:dyDescent="0.25">
      <c r="K56" s="252"/>
      <c r="L56" s="252"/>
      <c r="M56" s="252"/>
      <c r="N56" s="252"/>
    </row>
  </sheetData>
  <mergeCells count="34">
    <mergeCell ref="B39:I39"/>
    <mergeCell ref="B40:E40"/>
    <mergeCell ref="F40:I40"/>
    <mergeCell ref="K39:N39"/>
    <mergeCell ref="B30:I30"/>
    <mergeCell ref="K30:N30"/>
    <mergeCell ref="B31:E31"/>
    <mergeCell ref="F31:I31"/>
    <mergeCell ref="C10:E10"/>
    <mergeCell ref="C8:E8"/>
    <mergeCell ref="C7:E7"/>
    <mergeCell ref="C9:E9"/>
    <mergeCell ref="C6:E6"/>
    <mergeCell ref="G7:I7"/>
    <mergeCell ref="G8:I8"/>
    <mergeCell ref="G5:I5"/>
    <mergeCell ref="C5:E5"/>
    <mergeCell ref="G6:I6"/>
    <mergeCell ref="B23:E23"/>
    <mergeCell ref="F23:I23"/>
    <mergeCell ref="R22:W22"/>
    <mergeCell ref="K5:M5"/>
    <mergeCell ref="K6:M6"/>
    <mergeCell ref="K7:M7"/>
    <mergeCell ref="K9:M9"/>
    <mergeCell ref="K10:M10"/>
    <mergeCell ref="B14:I14"/>
    <mergeCell ref="K14:N14"/>
    <mergeCell ref="B15:E15"/>
    <mergeCell ref="F15:I15"/>
    <mergeCell ref="B22:I22"/>
    <mergeCell ref="K22:N22"/>
    <mergeCell ref="G10:I10"/>
    <mergeCell ref="G9:I9"/>
  </mergeCells>
  <pageMargins left="0.7" right="0.7" top="0.75" bottom="0.75" header="0.3" footer="0.3"/>
  <pageSetup paperSize="5" scale="4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4" tint="0.39997558519241921"/>
    <pageSetUpPr fitToPage="1"/>
  </sheetPr>
  <dimension ref="A1:X48"/>
  <sheetViews>
    <sheetView workbookViewId="0">
      <selection activeCell="F27" sqref="F27:I27"/>
    </sheetView>
  </sheetViews>
  <sheetFormatPr defaultColWidth="8.85546875" defaultRowHeight="15" x14ac:dyDescent="0.25"/>
  <cols>
    <col min="1" max="1" width="22.42578125" customWidth="1"/>
    <col min="2" max="2" width="13.42578125" customWidth="1"/>
    <col min="3" max="9" width="11.85546875" customWidth="1"/>
    <col min="10" max="10" width="10.140625" customWidth="1"/>
    <col min="11" max="14" width="11.85546875" customWidth="1"/>
    <col min="15" max="15" width="10" customWidth="1"/>
    <col min="16" max="16" width="3.85546875" customWidth="1"/>
    <col min="17" max="23" width="14.42578125" customWidth="1"/>
    <col min="24" max="24" width="3.85546875" customWidth="1"/>
  </cols>
  <sheetData>
    <row r="1" spans="1:24" ht="24.75" thickTop="1" thickBot="1" x14ac:dyDescent="0.4">
      <c r="A1" s="33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260" t="str">
        <f>CompanyName &amp;" Revenue Forecast"</f>
        <v>WorkHorse Inc. Revenue Forecast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"Revenues ("&amp;SubHeader&amp;")"</f>
        <v>Revenues (USD)</v>
      </c>
      <c r="B2" s="86"/>
      <c r="C2" s="28"/>
      <c r="D2" s="28"/>
      <c r="P2" s="199"/>
      <c r="X2" s="200"/>
    </row>
    <row r="3" spans="1:24" ht="17.25" x14ac:dyDescent="0.3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 t="s">
        <v>198</v>
      </c>
      <c r="X3" s="200"/>
    </row>
    <row r="4" spans="1:24" ht="19.5" x14ac:dyDescent="0.3">
      <c r="A4" s="32" t="s">
        <v>24</v>
      </c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X4" s="200"/>
    </row>
    <row r="5" spans="1:24" s="39" customFormat="1" ht="15.75" x14ac:dyDescent="0.25">
      <c r="B5" s="103" t="s">
        <v>259</v>
      </c>
      <c r="C5" s="332" t="s">
        <v>22</v>
      </c>
      <c r="D5" s="332"/>
      <c r="E5" s="333"/>
      <c r="F5" s="104" t="s">
        <v>260</v>
      </c>
      <c r="G5" s="332" t="s">
        <v>22</v>
      </c>
      <c r="H5" s="332"/>
      <c r="I5" s="333"/>
      <c r="J5" s="104" t="s">
        <v>25</v>
      </c>
      <c r="K5" s="332" t="s">
        <v>22</v>
      </c>
      <c r="L5" s="332"/>
      <c r="M5" s="333"/>
      <c r="P5" s="256"/>
      <c r="X5" s="257"/>
    </row>
    <row r="6" spans="1:24" x14ac:dyDescent="0.25">
      <c r="A6" s="40" t="s">
        <v>227</v>
      </c>
      <c r="B6" s="127">
        <v>580</v>
      </c>
      <c r="C6" s="327" t="s">
        <v>261</v>
      </c>
      <c r="D6" s="327"/>
      <c r="E6" s="328"/>
      <c r="F6" s="111">
        <v>780</v>
      </c>
      <c r="G6" s="327" t="s">
        <v>261</v>
      </c>
      <c r="H6" s="327"/>
      <c r="I6" s="328"/>
      <c r="J6" s="111"/>
      <c r="K6" s="327"/>
      <c r="L6" s="327"/>
      <c r="M6" s="328"/>
      <c r="P6" s="199"/>
      <c r="X6" s="200"/>
    </row>
    <row r="7" spans="1:24" x14ac:dyDescent="0.25">
      <c r="A7" s="41" t="s">
        <v>226</v>
      </c>
      <c r="B7" s="133">
        <v>0.4</v>
      </c>
      <c r="C7" s="321"/>
      <c r="D7" s="321"/>
      <c r="E7" s="322"/>
      <c r="F7" s="134">
        <v>0.6</v>
      </c>
      <c r="G7" s="321"/>
      <c r="H7" s="321"/>
      <c r="I7" s="322"/>
      <c r="J7" s="134"/>
      <c r="K7" s="321"/>
      <c r="L7" s="321"/>
      <c r="M7" s="322"/>
      <c r="P7" s="199"/>
      <c r="X7" s="200"/>
    </row>
    <row r="8" spans="1:24" ht="15" customHeight="1" x14ac:dyDescent="0.25">
      <c r="A8" s="42" t="s">
        <v>195</v>
      </c>
      <c r="B8" s="272">
        <v>0.05</v>
      </c>
      <c r="C8" s="318"/>
      <c r="D8" s="318"/>
      <c r="E8" s="319"/>
      <c r="F8" s="273">
        <v>0.05</v>
      </c>
      <c r="G8" s="318"/>
      <c r="H8" s="318"/>
      <c r="I8" s="319"/>
      <c r="J8" s="273"/>
      <c r="K8" s="318"/>
      <c r="L8" s="318"/>
      <c r="M8" s="319"/>
      <c r="P8" s="199"/>
      <c r="X8" s="200"/>
    </row>
    <row r="9" spans="1:24" ht="15" customHeight="1" thickBot="1" x14ac:dyDescent="0.3">
      <c r="A9" s="285" t="s">
        <v>228</v>
      </c>
      <c r="B9" s="286">
        <f>B6*(1-B7)*(1-B8)</f>
        <v>330.59999999999997</v>
      </c>
      <c r="C9" s="287"/>
      <c r="D9" s="287"/>
      <c r="E9" s="287"/>
      <c r="F9" s="288">
        <f>F6*(1-F7)*(1-F8)</f>
        <v>296.39999999999998</v>
      </c>
      <c r="G9" s="287"/>
      <c r="H9" s="287"/>
      <c r="I9" s="287"/>
      <c r="J9" s="288" t="s">
        <v>204</v>
      </c>
      <c r="K9" s="287"/>
      <c r="L9" s="287"/>
      <c r="M9" s="287"/>
      <c r="P9" s="199"/>
      <c r="X9" s="200"/>
    </row>
    <row r="10" spans="1:24" ht="15.75" thickTop="1" x14ac:dyDescent="0.25">
      <c r="B10" t="s">
        <v>204</v>
      </c>
      <c r="C10" t="s">
        <v>204</v>
      </c>
      <c r="F10" t="s">
        <v>204</v>
      </c>
      <c r="G10" t="s">
        <v>204</v>
      </c>
      <c r="P10" s="199"/>
      <c r="X10" s="200"/>
    </row>
    <row r="11" spans="1:24" ht="19.5" x14ac:dyDescent="0.3">
      <c r="A11" s="35" t="s">
        <v>140</v>
      </c>
      <c r="H11" s="268" t="s">
        <v>204</v>
      </c>
      <c r="P11" s="199"/>
      <c r="X11" s="200"/>
    </row>
    <row r="12" spans="1:24" ht="14.85" customHeight="1" x14ac:dyDescent="0.3">
      <c r="A12" s="35"/>
      <c r="B12" s="306" t="s">
        <v>142</v>
      </c>
      <c r="C12" s="307"/>
      <c r="D12" s="307"/>
      <c r="E12" s="307"/>
      <c r="F12" s="307"/>
      <c r="G12" s="307"/>
      <c r="H12" s="307"/>
      <c r="I12" s="308"/>
      <c r="J12" s="281"/>
      <c r="K12" s="309" t="s">
        <v>141</v>
      </c>
      <c r="L12" s="310"/>
      <c r="M12" s="310"/>
      <c r="N12" s="311"/>
      <c r="P12" s="199"/>
      <c r="X12" s="200"/>
    </row>
    <row r="13" spans="1:24" x14ac:dyDescent="0.25">
      <c r="A13" s="31"/>
      <c r="B13" s="312" t="s">
        <v>193</v>
      </c>
      <c r="C13" s="313"/>
      <c r="D13" s="313"/>
      <c r="E13" s="314"/>
      <c r="F13" s="315" t="s">
        <v>194</v>
      </c>
      <c r="G13" s="313"/>
      <c r="H13" s="313"/>
      <c r="I13" s="316"/>
      <c r="J13" s="281"/>
      <c r="K13" s="97" t="s">
        <v>135</v>
      </c>
      <c r="L13" s="98" t="s">
        <v>136</v>
      </c>
      <c r="M13" s="98" t="s">
        <v>137</v>
      </c>
      <c r="N13" s="99" t="s">
        <v>225</v>
      </c>
      <c r="P13" s="199"/>
      <c r="X13" s="200"/>
    </row>
    <row r="14" spans="1:24" x14ac:dyDescent="0.25">
      <c r="A14" s="60"/>
      <c r="B14" s="156">
        <f>StartDate</f>
        <v>43831</v>
      </c>
      <c r="C14" s="61">
        <f>EDATE(B14,3)</f>
        <v>43922</v>
      </c>
      <c r="D14" s="61">
        <f t="shared" ref="D14:I14" si="0">EDATE(C14,3)</f>
        <v>44013</v>
      </c>
      <c r="E14" s="61">
        <f t="shared" si="0"/>
        <v>44105</v>
      </c>
      <c r="F14" s="61">
        <f t="shared" si="0"/>
        <v>44197</v>
      </c>
      <c r="G14" s="61">
        <f t="shared" si="0"/>
        <v>44287</v>
      </c>
      <c r="H14" s="61">
        <f t="shared" si="0"/>
        <v>44378</v>
      </c>
      <c r="I14" s="159">
        <f t="shared" si="0"/>
        <v>44470</v>
      </c>
      <c r="J14" s="281"/>
      <c r="K14" s="156">
        <f>EDATE(I14,3)</f>
        <v>44562</v>
      </c>
      <c r="L14" s="61">
        <f t="shared" ref="L14:N14" si="1">EDATE(K14,12)</f>
        <v>44927</v>
      </c>
      <c r="M14" s="61">
        <f t="shared" si="1"/>
        <v>45292</v>
      </c>
      <c r="N14" s="157">
        <f t="shared" si="1"/>
        <v>45658</v>
      </c>
      <c r="P14" s="199"/>
      <c r="X14" s="200"/>
    </row>
    <row r="15" spans="1:24" x14ac:dyDescent="0.25">
      <c r="A15" s="36" t="str">
        <f>$B$5</f>
        <v>Wonderfoal</v>
      </c>
      <c r="B15" s="120"/>
      <c r="C15" s="121"/>
      <c r="D15" s="121"/>
      <c r="E15" s="121"/>
      <c r="F15" s="121">
        <v>1750</v>
      </c>
      <c r="G15" s="121">
        <v>1750</v>
      </c>
      <c r="H15" s="121">
        <v>1750</v>
      </c>
      <c r="I15" s="122">
        <v>1750</v>
      </c>
      <c r="J15" s="281"/>
      <c r="K15" s="120">
        <v>14000</v>
      </c>
      <c r="L15" s="121">
        <v>21000</v>
      </c>
      <c r="M15" s="121">
        <v>28000</v>
      </c>
      <c r="N15" s="122">
        <v>35000</v>
      </c>
      <c r="P15" s="199"/>
      <c r="X15" s="200"/>
    </row>
    <row r="16" spans="1:24" x14ac:dyDescent="0.25">
      <c r="A16" s="36" t="str">
        <f>$F$5</f>
        <v>NakotaStar</v>
      </c>
      <c r="B16" s="123"/>
      <c r="C16" s="124"/>
      <c r="D16" s="124"/>
      <c r="E16" s="124"/>
      <c r="F16" s="124"/>
      <c r="G16" s="124"/>
      <c r="H16" s="124"/>
      <c r="I16" s="125"/>
      <c r="J16" s="281"/>
      <c r="K16" s="123">
        <v>10000</v>
      </c>
      <c r="L16" s="124">
        <v>20000</v>
      </c>
      <c r="M16" s="124">
        <v>40000</v>
      </c>
      <c r="N16" s="125">
        <v>80000</v>
      </c>
      <c r="P16" s="199"/>
      <c r="X16" s="200"/>
    </row>
    <row r="17" spans="1:24" ht="15.75" thickBot="1" x14ac:dyDescent="0.3">
      <c r="A17" s="36" t="str">
        <f>$J$5</f>
        <v>Product 3</v>
      </c>
      <c r="B17" s="123"/>
      <c r="C17" s="124"/>
      <c r="D17" s="124"/>
      <c r="E17" s="124"/>
      <c r="F17" s="124"/>
      <c r="G17" s="124"/>
      <c r="H17" s="124"/>
      <c r="I17" s="125"/>
      <c r="J17" s="281"/>
      <c r="K17" s="123"/>
      <c r="L17" s="124"/>
      <c r="M17" s="124"/>
      <c r="N17" s="125"/>
      <c r="P17" s="136"/>
      <c r="Q17" s="137"/>
      <c r="R17" s="137"/>
      <c r="S17" s="137"/>
      <c r="T17" s="137"/>
      <c r="U17" s="137"/>
      <c r="V17" s="137"/>
      <c r="W17" s="137"/>
      <c r="X17" s="138"/>
    </row>
    <row r="18" spans="1:24" ht="15.75" thickTop="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P18" s="258"/>
      <c r="Q18" s="259"/>
      <c r="R18" s="259"/>
      <c r="S18" s="259"/>
      <c r="T18" s="259"/>
      <c r="U18" s="259"/>
      <c r="V18" s="259"/>
      <c r="W18" s="259"/>
      <c r="X18" s="255"/>
    </row>
    <row r="19" spans="1:24" ht="17.25" x14ac:dyDescent="0.3">
      <c r="P19" s="199"/>
      <c r="Q19" s="253" t="s">
        <v>199</v>
      </c>
      <c r="X19" s="200"/>
    </row>
    <row r="20" spans="1:24" ht="19.5" x14ac:dyDescent="0.3">
      <c r="A20" s="35" t="s">
        <v>148</v>
      </c>
      <c r="H20" s="268" t="s">
        <v>204</v>
      </c>
      <c r="P20" s="199"/>
      <c r="X20" s="200"/>
    </row>
    <row r="21" spans="1:24" ht="14.85" customHeight="1" x14ac:dyDescent="0.3">
      <c r="A21" s="35"/>
      <c r="B21" s="306" t="s">
        <v>134</v>
      </c>
      <c r="C21" s="307"/>
      <c r="D21" s="307"/>
      <c r="E21" s="307"/>
      <c r="F21" s="307"/>
      <c r="G21" s="307"/>
      <c r="H21" s="307"/>
      <c r="I21" s="308"/>
      <c r="J21" s="281"/>
      <c r="K21" s="309" t="s">
        <v>138</v>
      </c>
      <c r="L21" s="310"/>
      <c r="M21" s="310"/>
      <c r="N21" s="311"/>
      <c r="P21" s="199"/>
      <c r="R21" s="309" t="s">
        <v>200</v>
      </c>
      <c r="S21" s="310"/>
      <c r="T21" s="310"/>
      <c r="U21" s="310"/>
      <c r="V21" s="310"/>
      <c r="W21" s="311"/>
      <c r="X21" s="200"/>
    </row>
    <row r="22" spans="1:24" x14ac:dyDescent="0.25">
      <c r="A22" s="31"/>
      <c r="B22" s="312" t="s">
        <v>193</v>
      </c>
      <c r="C22" s="313"/>
      <c r="D22" s="313"/>
      <c r="E22" s="314"/>
      <c r="F22" s="315" t="s">
        <v>194</v>
      </c>
      <c r="G22" s="313"/>
      <c r="H22" s="313"/>
      <c r="I22" s="316"/>
      <c r="J22" s="281"/>
      <c r="K22" s="97" t="s">
        <v>135</v>
      </c>
      <c r="L22" s="98" t="s">
        <v>136</v>
      </c>
      <c r="M22" s="98" t="s">
        <v>137</v>
      </c>
      <c r="N22" s="99" t="s">
        <v>225</v>
      </c>
      <c r="P22" s="199"/>
      <c r="R22" s="97" t="s">
        <v>193</v>
      </c>
      <c r="S22" s="98" t="s">
        <v>194</v>
      </c>
      <c r="T22" s="98" t="s">
        <v>135</v>
      </c>
      <c r="U22" s="98" t="s">
        <v>136</v>
      </c>
      <c r="V22" s="98" t="s">
        <v>137</v>
      </c>
      <c r="W22" s="99" t="s">
        <v>225</v>
      </c>
      <c r="X22" s="200"/>
    </row>
    <row r="23" spans="1:24" x14ac:dyDescent="0.25">
      <c r="A23" s="51"/>
      <c r="B23" s="93">
        <f>StartDate</f>
        <v>43831</v>
      </c>
      <c r="C23" s="52">
        <f>EDATE(B23,3)</f>
        <v>43922</v>
      </c>
      <c r="D23" s="52">
        <f t="shared" ref="D23:I23" si="2">EDATE(C23,3)</f>
        <v>44013</v>
      </c>
      <c r="E23" s="52">
        <f t="shared" si="2"/>
        <v>44105</v>
      </c>
      <c r="F23" s="52">
        <f t="shared" si="2"/>
        <v>44197</v>
      </c>
      <c r="G23" s="52">
        <f t="shared" si="2"/>
        <v>44287</v>
      </c>
      <c r="H23" s="52">
        <f t="shared" si="2"/>
        <v>44378</v>
      </c>
      <c r="I23" s="89">
        <f t="shared" si="2"/>
        <v>44470</v>
      </c>
      <c r="J23" s="281"/>
      <c r="K23" s="93">
        <f>EDATE(I23,3)</f>
        <v>44562</v>
      </c>
      <c r="L23" s="52">
        <f t="shared" ref="L23:N23" si="3">EDATE(K23,12)</f>
        <v>44927</v>
      </c>
      <c r="M23" s="52">
        <f t="shared" si="3"/>
        <v>45292</v>
      </c>
      <c r="N23" s="96">
        <f t="shared" si="3"/>
        <v>45658</v>
      </c>
      <c r="P23" s="199"/>
      <c r="R23" s="93">
        <f>B23</f>
        <v>43831</v>
      </c>
      <c r="S23" s="52">
        <f>F23</f>
        <v>44197</v>
      </c>
      <c r="T23" s="52">
        <f>K23</f>
        <v>44562</v>
      </c>
      <c r="U23" s="52">
        <f t="shared" ref="U23:W23" si="4">EDATE(T23,12)</f>
        <v>44927</v>
      </c>
      <c r="V23" s="52">
        <f t="shared" si="4"/>
        <v>45292</v>
      </c>
      <c r="W23" s="96">
        <f t="shared" si="4"/>
        <v>45658</v>
      </c>
      <c r="X23" s="200"/>
    </row>
    <row r="24" spans="1:24" x14ac:dyDescent="0.25">
      <c r="A24" s="36" t="str">
        <f>$B$5</f>
        <v>Wonderfoal</v>
      </c>
      <c r="B24" s="94">
        <f t="shared" ref="B24:I24" si="5">$B$9*B15</f>
        <v>0</v>
      </c>
      <c r="C24" s="87">
        <f t="shared" si="5"/>
        <v>0</v>
      </c>
      <c r="D24" s="87">
        <f t="shared" si="5"/>
        <v>0</v>
      </c>
      <c r="E24" s="87">
        <f t="shared" si="5"/>
        <v>0</v>
      </c>
      <c r="F24" s="87">
        <f t="shared" si="5"/>
        <v>578549.99999999988</v>
      </c>
      <c r="G24" s="87">
        <f t="shared" si="5"/>
        <v>578549.99999999988</v>
      </c>
      <c r="H24" s="87">
        <f t="shared" si="5"/>
        <v>578549.99999999988</v>
      </c>
      <c r="I24" s="87">
        <f t="shared" si="5"/>
        <v>578549.99999999988</v>
      </c>
      <c r="J24" s="281"/>
      <c r="K24" s="94">
        <f>$B$9*K15</f>
        <v>4628399.9999999991</v>
      </c>
      <c r="L24" s="87">
        <f>$B$9*L15</f>
        <v>6942599.9999999991</v>
      </c>
      <c r="M24" s="87">
        <f>$B$9*M15</f>
        <v>9256799.9999999981</v>
      </c>
      <c r="N24" s="284">
        <f>$B$9*N15</f>
        <v>11570999.999999998</v>
      </c>
      <c r="P24" s="199"/>
      <c r="Q24" s="36" t="str">
        <f>A24</f>
        <v>Wonderfoal</v>
      </c>
      <c r="R24" s="94">
        <f>SUM(B24:E24)</f>
        <v>0</v>
      </c>
      <c r="S24" s="87">
        <f>SUM(F24:I24)</f>
        <v>2314199.9999999995</v>
      </c>
      <c r="T24" s="87">
        <f>K24</f>
        <v>4628399.9999999991</v>
      </c>
      <c r="U24" s="87">
        <f t="shared" ref="U24:W26" si="6">L24</f>
        <v>6942599.9999999991</v>
      </c>
      <c r="V24" s="87">
        <f t="shared" si="6"/>
        <v>9256799.9999999981</v>
      </c>
      <c r="W24" s="90">
        <f t="shared" si="6"/>
        <v>11570999.999999998</v>
      </c>
      <c r="X24" s="200"/>
    </row>
    <row r="25" spans="1:24" x14ac:dyDescent="0.25">
      <c r="A25" s="36" t="str">
        <f>$F$5</f>
        <v>NakotaStar</v>
      </c>
      <c r="B25" s="94">
        <f t="shared" ref="B25:I26" si="7">$F$9*B16</f>
        <v>0</v>
      </c>
      <c r="C25" s="87">
        <f t="shared" si="7"/>
        <v>0</v>
      </c>
      <c r="D25" s="87">
        <f t="shared" si="7"/>
        <v>0</v>
      </c>
      <c r="E25" s="87">
        <f t="shared" si="7"/>
        <v>0</v>
      </c>
      <c r="F25" s="87">
        <f t="shared" si="7"/>
        <v>0</v>
      </c>
      <c r="G25" s="87">
        <f t="shared" si="7"/>
        <v>0</v>
      </c>
      <c r="H25" s="87">
        <f t="shared" si="7"/>
        <v>0</v>
      </c>
      <c r="I25" s="90">
        <f t="shared" si="7"/>
        <v>0</v>
      </c>
      <c r="J25" s="281"/>
      <c r="K25" s="94">
        <f>$F$9*K16</f>
        <v>2964000</v>
      </c>
      <c r="L25" s="87">
        <f>$F$9*L16</f>
        <v>5928000</v>
      </c>
      <c r="M25" s="87">
        <f>$F$9*M16</f>
        <v>11856000</v>
      </c>
      <c r="N25" s="284">
        <f>$F$9*N16</f>
        <v>23712000</v>
      </c>
      <c r="P25" s="199"/>
      <c r="Q25" s="36" t="str">
        <f>A25</f>
        <v>NakotaStar</v>
      </c>
      <c r="R25" s="94">
        <f>SUM(B25:E25)</f>
        <v>0</v>
      </c>
      <c r="S25" s="87">
        <f>SUM(F25:I25)</f>
        <v>0</v>
      </c>
      <c r="T25" s="87">
        <f>K25</f>
        <v>2964000</v>
      </c>
      <c r="U25" s="87">
        <f t="shared" si="6"/>
        <v>5928000</v>
      </c>
      <c r="V25" s="87">
        <f t="shared" si="6"/>
        <v>11856000</v>
      </c>
      <c r="W25" s="90">
        <f t="shared" si="6"/>
        <v>23712000</v>
      </c>
      <c r="X25" s="200"/>
    </row>
    <row r="26" spans="1:24" ht="15.75" thickBot="1" x14ac:dyDescent="0.3">
      <c r="A26" s="37" t="str">
        <f>$J$5</f>
        <v>Product 3</v>
      </c>
      <c r="B26" s="95">
        <f t="shared" si="7"/>
        <v>0</v>
      </c>
      <c r="C26" s="88">
        <f t="shared" ref="C26:I26" si="8">$J$6*C17*(1-$J$7)*(1-$J$8)</f>
        <v>0</v>
      </c>
      <c r="D26" s="88">
        <f t="shared" si="8"/>
        <v>0</v>
      </c>
      <c r="E26" s="88">
        <f t="shared" si="8"/>
        <v>0</v>
      </c>
      <c r="F26" s="88">
        <f t="shared" si="8"/>
        <v>0</v>
      </c>
      <c r="G26" s="88">
        <f t="shared" si="8"/>
        <v>0</v>
      </c>
      <c r="H26" s="88">
        <f t="shared" si="8"/>
        <v>0</v>
      </c>
      <c r="I26" s="91">
        <f t="shared" si="8"/>
        <v>0</v>
      </c>
      <c r="J26" s="281"/>
      <c r="K26" s="95">
        <f>$J$6*K17*(1-$J$7)*(1-$J$8)</f>
        <v>0</v>
      </c>
      <c r="L26" s="88">
        <f>$J$6*L17*(1-$J$7)*(1-$J$8)</f>
        <v>0</v>
      </c>
      <c r="M26" s="88">
        <f>$J$6*M17*(1-$J$7)*(1-$J$8)</f>
        <v>0</v>
      </c>
      <c r="N26" s="91">
        <f>$J$6*N17*(1-$J$7)*(1-$J$8)</f>
        <v>0</v>
      </c>
      <c r="P26" s="199"/>
      <c r="Q26" s="36" t="str">
        <f>A26</f>
        <v>Product 3</v>
      </c>
      <c r="R26" s="95">
        <f>SUM(B26:E26)</f>
        <v>0</v>
      </c>
      <c r="S26" s="88">
        <f>SUM(F26:I26)</f>
        <v>0</v>
      </c>
      <c r="T26" s="88">
        <f>K26</f>
        <v>0</v>
      </c>
      <c r="U26" s="88">
        <f t="shared" si="6"/>
        <v>0</v>
      </c>
      <c r="V26" s="88">
        <f t="shared" si="6"/>
        <v>0</v>
      </c>
      <c r="W26" s="91">
        <f t="shared" si="6"/>
        <v>0</v>
      </c>
      <c r="X26" s="200"/>
    </row>
    <row r="27" spans="1:24" ht="15.75" thickTop="1" x14ac:dyDescent="0.25">
      <c r="A27" s="38" t="s">
        <v>15</v>
      </c>
      <c r="B27" s="118">
        <f t="shared" ref="B27:I27" si="9">SUM(B24:B26)</f>
        <v>0</v>
      </c>
      <c r="C27" s="74">
        <f t="shared" si="9"/>
        <v>0</v>
      </c>
      <c r="D27" s="74">
        <f t="shared" si="9"/>
        <v>0</v>
      </c>
      <c r="E27" s="74">
        <f t="shared" si="9"/>
        <v>0</v>
      </c>
      <c r="F27" s="74">
        <f t="shared" si="9"/>
        <v>578549.99999999988</v>
      </c>
      <c r="G27" s="74">
        <f t="shared" si="9"/>
        <v>578549.99999999988</v>
      </c>
      <c r="H27" s="74">
        <f t="shared" si="9"/>
        <v>578549.99999999988</v>
      </c>
      <c r="I27" s="119">
        <f t="shared" si="9"/>
        <v>578549.99999999988</v>
      </c>
      <c r="J27" s="281"/>
      <c r="K27" s="118">
        <f>SUM(K24:K26)</f>
        <v>7592399.9999999991</v>
      </c>
      <c r="L27" s="74">
        <f>SUM(L24:L26)</f>
        <v>12870600</v>
      </c>
      <c r="M27" s="74">
        <f>SUM(M24:M26)</f>
        <v>21112800</v>
      </c>
      <c r="N27" s="119">
        <f>SUM(N24:N26)</f>
        <v>35283000</v>
      </c>
      <c r="P27" s="199"/>
      <c r="R27" s="74">
        <f t="shared" ref="R27:W27" si="10">SUM(R24:R26)</f>
        <v>0</v>
      </c>
      <c r="S27" s="74">
        <f t="shared" si="10"/>
        <v>2314199.9999999995</v>
      </c>
      <c r="T27" s="74">
        <f t="shared" si="10"/>
        <v>7592399.9999999991</v>
      </c>
      <c r="U27" s="74">
        <f t="shared" si="10"/>
        <v>12870600</v>
      </c>
      <c r="V27" s="74">
        <f t="shared" si="10"/>
        <v>21112800</v>
      </c>
      <c r="W27" s="119">
        <f t="shared" si="10"/>
        <v>35283000</v>
      </c>
      <c r="X27" s="200"/>
    </row>
    <row r="28" spans="1:24" x14ac:dyDescent="0.25">
      <c r="F28" s="254"/>
      <c r="G28" s="254"/>
      <c r="H28" s="254"/>
      <c r="I28" s="254"/>
      <c r="J28" s="254"/>
      <c r="K28" s="254"/>
      <c r="L28" s="254"/>
      <c r="M28" s="254"/>
      <c r="N28" s="254"/>
      <c r="P28" s="199"/>
      <c r="X28" s="200"/>
    </row>
    <row r="29" spans="1:24" x14ac:dyDescent="0.25">
      <c r="F29" s="252"/>
      <c r="G29" s="252"/>
      <c r="H29" s="252"/>
      <c r="I29" s="252"/>
      <c r="J29" s="252"/>
      <c r="K29" s="252"/>
      <c r="L29" s="252"/>
      <c r="M29" s="252"/>
      <c r="N29" s="252"/>
      <c r="P29" s="199"/>
      <c r="X29" s="200"/>
    </row>
    <row r="30" spans="1:24" x14ac:dyDescent="0.25">
      <c r="I30" s="252"/>
      <c r="J30" s="252"/>
      <c r="K30" s="252"/>
      <c r="L30" s="252"/>
      <c r="M30" s="252"/>
      <c r="N30" s="252"/>
      <c r="P30" s="199"/>
      <c r="X30" s="200"/>
    </row>
    <row r="31" spans="1:24" x14ac:dyDescent="0.25">
      <c r="I31" s="252"/>
      <c r="J31" s="252"/>
      <c r="K31" s="274"/>
      <c r="L31" s="274"/>
      <c r="M31" s="274"/>
      <c r="N31" s="274"/>
      <c r="P31" s="199"/>
      <c r="X31" s="200"/>
    </row>
    <row r="32" spans="1:24" ht="14.45" customHeight="1" x14ac:dyDescent="0.25">
      <c r="F32" s="276"/>
      <c r="I32" s="268"/>
      <c r="J32" s="268"/>
      <c r="M32" s="252"/>
      <c r="N32" s="252"/>
      <c r="P32" s="199"/>
      <c r="X32" s="200"/>
    </row>
    <row r="33" spans="13:24" ht="14.45" customHeight="1" x14ac:dyDescent="0.25">
      <c r="M33" s="252"/>
      <c r="N33" s="252"/>
      <c r="P33" s="199"/>
      <c r="X33" s="200"/>
    </row>
    <row r="34" spans="13:24" ht="14.45" customHeight="1" x14ac:dyDescent="0.25">
      <c r="M34" s="252"/>
      <c r="N34" s="252"/>
      <c r="P34" s="199"/>
      <c r="X34" s="200"/>
    </row>
    <row r="35" spans="13:24" ht="14.45" customHeight="1" x14ac:dyDescent="0.25">
      <c r="M35" s="252"/>
      <c r="N35" s="252"/>
      <c r="P35" s="199"/>
      <c r="X35" s="200"/>
    </row>
    <row r="36" spans="13:24" ht="14.45" customHeight="1" x14ac:dyDescent="0.25">
      <c r="M36" s="252"/>
      <c r="N36" s="252"/>
      <c r="P36" s="199"/>
      <c r="X36" s="200"/>
    </row>
    <row r="37" spans="13:24" ht="14.45" customHeight="1" x14ac:dyDescent="0.25">
      <c r="M37" s="252"/>
      <c r="N37" s="252"/>
      <c r="P37" s="199"/>
      <c r="X37" s="200"/>
    </row>
    <row r="38" spans="13:24" ht="14.45" customHeight="1" x14ac:dyDescent="0.25">
      <c r="M38" s="252"/>
      <c r="N38" s="252"/>
      <c r="P38" s="199"/>
      <c r="X38" s="200"/>
    </row>
    <row r="39" spans="13:24" x14ac:dyDescent="0.25">
      <c r="P39" s="199"/>
      <c r="X39" s="200"/>
    </row>
    <row r="40" spans="13:24" x14ac:dyDescent="0.25">
      <c r="P40" s="199"/>
      <c r="X40" s="200"/>
    </row>
    <row r="41" spans="13:24" x14ac:dyDescent="0.25">
      <c r="P41" s="199"/>
      <c r="X41" s="200"/>
    </row>
    <row r="42" spans="13:24" x14ac:dyDescent="0.25">
      <c r="P42" s="199"/>
      <c r="X42" s="200"/>
    </row>
    <row r="43" spans="13:24" x14ac:dyDescent="0.25">
      <c r="P43" s="199"/>
      <c r="X43" s="200"/>
    </row>
    <row r="44" spans="13:24" x14ac:dyDescent="0.25">
      <c r="P44" s="199"/>
      <c r="X44" s="200"/>
    </row>
    <row r="45" spans="13:24" x14ac:dyDescent="0.25">
      <c r="P45" s="199"/>
      <c r="X45" s="200"/>
    </row>
    <row r="46" spans="13:24" x14ac:dyDescent="0.25">
      <c r="P46" s="199"/>
      <c r="X46" s="200"/>
    </row>
    <row r="47" spans="13:24" ht="15.75" thickBot="1" x14ac:dyDescent="0.3">
      <c r="P47" s="136"/>
      <c r="Q47" s="137"/>
      <c r="R47" s="137"/>
      <c r="S47" s="137"/>
      <c r="T47" s="137"/>
      <c r="U47" s="137"/>
      <c r="V47" s="137"/>
      <c r="W47" s="137"/>
      <c r="X47" s="138"/>
    </row>
    <row r="48" spans="13:24" ht="15.75" thickTop="1" x14ac:dyDescent="0.25"/>
  </sheetData>
  <mergeCells count="21">
    <mergeCell ref="C5:E5"/>
    <mergeCell ref="G5:I5"/>
    <mergeCell ref="C6:E6"/>
    <mergeCell ref="G6:I6"/>
    <mergeCell ref="B21:I21"/>
    <mergeCell ref="C7:E7"/>
    <mergeCell ref="C8:E8"/>
    <mergeCell ref="B22:E22"/>
    <mergeCell ref="F22:I22"/>
    <mergeCell ref="G7:I7"/>
    <mergeCell ref="G8:I8"/>
    <mergeCell ref="B12:I12"/>
    <mergeCell ref="B13:E13"/>
    <mergeCell ref="F13:I13"/>
    <mergeCell ref="K5:M5"/>
    <mergeCell ref="K6:M6"/>
    <mergeCell ref="K7:M7"/>
    <mergeCell ref="K8:M8"/>
    <mergeCell ref="R21:W21"/>
    <mergeCell ref="K21:N21"/>
    <mergeCell ref="K12:N12"/>
  </mergeCells>
  <conditionalFormatting sqref="F28:N28">
    <cfRule type="cellIs" dxfId="60" priority="1" operator="greaterThan">
      <formula>0.2</formula>
    </cfRule>
  </conditionalFormatting>
  <pageMargins left="0.25" right="0.25" top="0.75" bottom="0.75" header="0.3" footer="0.3"/>
  <pageSetup paperSize="5" scale="58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  <pageSetUpPr fitToPage="1"/>
  </sheetPr>
  <dimension ref="A1:X49"/>
  <sheetViews>
    <sheetView topLeftCell="C1" zoomScaleNormal="100" workbookViewId="0">
      <selection activeCell="G26" sqref="G26"/>
    </sheetView>
  </sheetViews>
  <sheetFormatPr defaultColWidth="8.85546875" defaultRowHeight="15" x14ac:dyDescent="0.25"/>
  <cols>
    <col min="1" max="1" width="20.140625" customWidth="1"/>
    <col min="2" max="9" width="11.85546875" customWidth="1"/>
    <col min="10" max="10" width="8.42578125" customWidth="1"/>
    <col min="11" max="14" width="13" customWidth="1"/>
    <col min="15" max="15" width="10" customWidth="1"/>
    <col min="16" max="16" width="3.85546875" customWidth="1"/>
    <col min="17" max="23" width="14.42578125" customWidth="1"/>
    <col min="24" max="24" width="3.85546875" customWidth="1"/>
  </cols>
  <sheetData>
    <row r="1" spans="1:24" ht="24.75" thickTop="1" thickBot="1" x14ac:dyDescent="0.4">
      <c r="A1" s="33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260" t="str">
        <f>CompanyName &amp;" Revenue Forecast"</f>
        <v>WorkHorse Inc. Revenue Forecast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"Revenues ("&amp;SubHeader&amp;")"</f>
        <v>Revenues (USD)</v>
      </c>
      <c r="C2" s="28"/>
      <c r="D2" s="28"/>
      <c r="P2" s="199"/>
      <c r="X2" s="200"/>
    </row>
    <row r="3" spans="1:24" ht="17.25" x14ac:dyDescent="0.3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 t="s">
        <v>198</v>
      </c>
      <c r="X3" s="200"/>
    </row>
    <row r="4" spans="1:24" ht="19.5" x14ac:dyDescent="0.3">
      <c r="A4" s="32" t="s">
        <v>44</v>
      </c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X4" s="200"/>
    </row>
    <row r="5" spans="1:24" ht="15" customHeight="1" x14ac:dyDescent="0.25">
      <c r="A5" t="s">
        <v>49</v>
      </c>
      <c r="B5" s="302" t="s">
        <v>46</v>
      </c>
      <c r="C5" s="29"/>
      <c r="D5" s="29"/>
      <c r="E5" s="29"/>
      <c r="F5" s="29"/>
      <c r="G5" s="29"/>
      <c r="H5" s="30"/>
      <c r="I5" s="30"/>
      <c r="J5" s="30"/>
      <c r="K5" s="30"/>
      <c r="L5" s="30"/>
      <c r="M5" s="30"/>
      <c r="N5" s="30"/>
      <c r="P5" s="256"/>
      <c r="Q5" s="39"/>
      <c r="R5" s="39"/>
      <c r="S5" s="39"/>
      <c r="T5" s="39"/>
      <c r="U5" s="39"/>
      <c r="V5" s="39"/>
      <c r="W5" s="39"/>
      <c r="X5" s="257"/>
    </row>
    <row r="6" spans="1:24" ht="15" customHeight="1" x14ac:dyDescent="0.25">
      <c r="B6" s="25"/>
      <c r="C6" s="29"/>
      <c r="D6" s="29"/>
      <c r="E6" s="29"/>
      <c r="F6" s="29"/>
      <c r="G6" s="29"/>
      <c r="H6" s="30"/>
      <c r="I6" s="30"/>
      <c r="J6" s="30"/>
      <c r="K6" s="30"/>
      <c r="L6" s="30"/>
      <c r="M6" s="30"/>
      <c r="N6" s="30"/>
      <c r="P6" s="199"/>
      <c r="X6" s="200"/>
    </row>
    <row r="7" spans="1:24" ht="15" customHeight="1" x14ac:dyDescent="0.25">
      <c r="A7" t="s">
        <v>50</v>
      </c>
      <c r="C7" s="29"/>
      <c r="D7" s="29"/>
      <c r="E7" s="29"/>
      <c r="F7" s="29"/>
      <c r="G7" s="29"/>
      <c r="H7" s="30"/>
      <c r="I7" s="30"/>
      <c r="J7" s="30"/>
      <c r="K7" s="30"/>
      <c r="L7" s="30"/>
      <c r="M7" s="30"/>
      <c r="N7" s="30"/>
      <c r="P7" s="199"/>
      <c r="X7" s="200"/>
    </row>
    <row r="8" spans="1:24" ht="15" customHeight="1" x14ac:dyDescent="0.25">
      <c r="B8" t="s">
        <v>47</v>
      </c>
      <c r="C8" s="29"/>
      <c r="D8" s="29"/>
      <c r="E8" s="29"/>
      <c r="F8" s="29"/>
      <c r="G8" s="29"/>
      <c r="H8" s="30"/>
      <c r="I8" s="30"/>
      <c r="J8" s="30"/>
      <c r="K8" s="30"/>
      <c r="L8" s="30"/>
      <c r="M8" s="30"/>
      <c r="N8" s="30"/>
      <c r="P8" s="199"/>
      <c r="X8" s="200"/>
    </row>
    <row r="9" spans="1:24" ht="15" customHeight="1" x14ac:dyDescent="0.25">
      <c r="B9" t="s">
        <v>46</v>
      </c>
      <c r="C9" s="29"/>
      <c r="D9" s="29"/>
      <c r="E9" s="29"/>
      <c r="F9" s="29"/>
      <c r="G9" s="29"/>
      <c r="H9" s="30"/>
      <c r="I9" s="30"/>
      <c r="J9" s="30"/>
      <c r="K9" s="30"/>
      <c r="L9" s="30"/>
      <c r="M9" s="30"/>
      <c r="N9" s="30"/>
      <c r="P9" s="199"/>
      <c r="X9" s="200"/>
    </row>
    <row r="10" spans="1:24" ht="15" customHeight="1" x14ac:dyDescent="0.25">
      <c r="B10" s="25"/>
      <c r="C10" s="29"/>
      <c r="D10" s="29"/>
      <c r="E10" s="29"/>
      <c r="F10" s="29"/>
      <c r="G10" s="29"/>
      <c r="H10" s="30"/>
      <c r="I10" s="30"/>
      <c r="J10" s="30"/>
      <c r="K10" s="30"/>
      <c r="L10" s="30"/>
      <c r="M10" s="30"/>
      <c r="N10" s="30"/>
      <c r="P10" s="199"/>
      <c r="X10" s="200"/>
    </row>
    <row r="11" spans="1:24" ht="15" customHeight="1" x14ac:dyDescent="0.25">
      <c r="B11" s="25"/>
      <c r="C11" s="29"/>
      <c r="D11" s="29"/>
      <c r="E11" s="29"/>
      <c r="F11" s="29"/>
      <c r="G11" s="29"/>
      <c r="H11" s="30"/>
      <c r="I11" s="30"/>
      <c r="J11" s="30"/>
      <c r="K11" s="30"/>
      <c r="L11" s="30"/>
      <c r="M11" s="30"/>
      <c r="N11" s="30"/>
      <c r="P11" s="199"/>
      <c r="X11" s="200"/>
    </row>
    <row r="12" spans="1:24" ht="19.5" x14ac:dyDescent="0.3">
      <c r="A12" s="35" t="s">
        <v>163</v>
      </c>
      <c r="P12" s="199"/>
      <c r="X12" s="200"/>
    </row>
    <row r="13" spans="1:24" ht="15" customHeight="1" x14ac:dyDescent="0.3">
      <c r="A13" s="35"/>
      <c r="B13" s="306" t="s">
        <v>142</v>
      </c>
      <c r="C13" s="307"/>
      <c r="D13" s="307"/>
      <c r="E13" s="307"/>
      <c r="F13" s="307"/>
      <c r="G13" s="307"/>
      <c r="H13" s="307"/>
      <c r="I13" s="308"/>
      <c r="J13" s="281"/>
      <c r="K13" s="309" t="s">
        <v>141</v>
      </c>
      <c r="L13" s="310"/>
      <c r="M13" s="310"/>
      <c r="N13" s="311"/>
      <c r="P13" s="199"/>
      <c r="X13" s="200"/>
    </row>
    <row r="14" spans="1:24" ht="15" customHeight="1" x14ac:dyDescent="0.25">
      <c r="A14" s="31"/>
      <c r="B14" s="312" t="s">
        <v>193</v>
      </c>
      <c r="C14" s="313"/>
      <c r="D14" s="313"/>
      <c r="E14" s="314"/>
      <c r="F14" s="315" t="s">
        <v>194</v>
      </c>
      <c r="G14" s="313"/>
      <c r="H14" s="313"/>
      <c r="I14" s="316"/>
      <c r="J14" s="281"/>
      <c r="K14" s="97" t="s">
        <v>135</v>
      </c>
      <c r="L14" s="98" t="s">
        <v>136</v>
      </c>
      <c r="M14" s="98" t="s">
        <v>137</v>
      </c>
      <c r="N14" s="99" t="s">
        <v>225</v>
      </c>
      <c r="P14" s="199"/>
      <c r="X14" s="200"/>
    </row>
    <row r="15" spans="1:24" ht="15" customHeight="1" x14ac:dyDescent="0.25">
      <c r="A15" s="51"/>
      <c r="B15" s="93">
        <f>StartDate</f>
        <v>43831</v>
      </c>
      <c r="C15" s="52">
        <f>EDATE(B15,3)</f>
        <v>43922</v>
      </c>
      <c r="D15" s="52">
        <f t="shared" ref="D15:I15" si="0">EDATE(C15,3)</f>
        <v>44013</v>
      </c>
      <c r="E15" s="52">
        <f t="shared" si="0"/>
        <v>44105</v>
      </c>
      <c r="F15" s="52">
        <f t="shared" si="0"/>
        <v>44197</v>
      </c>
      <c r="G15" s="52">
        <f t="shared" si="0"/>
        <v>44287</v>
      </c>
      <c r="H15" s="52">
        <f t="shared" si="0"/>
        <v>44378</v>
      </c>
      <c r="I15" s="89">
        <f t="shared" si="0"/>
        <v>44470</v>
      </c>
      <c r="J15" s="281"/>
      <c r="K15" s="93">
        <f>EDATE(I15,3)</f>
        <v>44562</v>
      </c>
      <c r="L15" s="52">
        <f t="shared" ref="L15:N15" si="1">EDATE(K15,12)</f>
        <v>44927</v>
      </c>
      <c r="M15" s="52">
        <f t="shared" si="1"/>
        <v>45292</v>
      </c>
      <c r="N15" s="96">
        <f t="shared" si="1"/>
        <v>45658</v>
      </c>
      <c r="P15" s="199"/>
      <c r="X15" s="200"/>
    </row>
    <row r="16" spans="1:24" ht="15" customHeight="1" x14ac:dyDescent="0.25">
      <c r="A16" s="36" t="str">
        <f>IF($B$5="Bottom-up",'Bottom-Up'!A24,'Top-Down'!A42)</f>
        <v>Wonderfoal</v>
      </c>
      <c r="B16" s="129">
        <f>IF($B$5="Bottom-up",'Bottom-Up'!B24,'Top-Down'!B42)</f>
        <v>0</v>
      </c>
      <c r="C16" s="43">
        <f>IF($B$5="Bottom-up",'Bottom-Up'!C24,'Top-Down'!C42)</f>
        <v>0</v>
      </c>
      <c r="D16" s="43">
        <f>IF($B$5="Bottom-up",'Bottom-Up'!D24,'Top-Down'!D42)</f>
        <v>0</v>
      </c>
      <c r="E16" s="43">
        <f>IF($B$5="Bottom-up",'Bottom-Up'!E24,'Top-Down'!E42)</f>
        <v>0</v>
      </c>
      <c r="F16" s="43">
        <f>IF($B$5="Bottom-up",'Bottom-Up'!F24,'Top-Down'!F42)</f>
        <v>578549.99999999988</v>
      </c>
      <c r="G16" s="43">
        <f>IF($B$5="Bottom-up",'Bottom-Up'!G24,'Top-Down'!G42)</f>
        <v>578549.99999999988</v>
      </c>
      <c r="H16" s="43">
        <f>IF($B$5="Bottom-up",'Bottom-Up'!H24,'Top-Down'!H42)</f>
        <v>578549.99999999988</v>
      </c>
      <c r="I16" s="130">
        <f>IF($B$5="Bottom-up",'Bottom-Up'!I24,'Top-Down'!I42)</f>
        <v>578549.99999999988</v>
      </c>
      <c r="J16" s="281"/>
      <c r="K16" s="129">
        <f>IF($B$5="Bottom-up",'Bottom-Up'!K24,'Top-Down'!K42)</f>
        <v>4628399.9999999991</v>
      </c>
      <c r="L16" s="43">
        <f>IF($B$5="Bottom-up",'Bottom-Up'!L24,'Top-Down'!L42)</f>
        <v>6942599.9999999991</v>
      </c>
      <c r="M16" s="43">
        <f>IF($B$5="Bottom-up",'Bottom-Up'!M24,'Top-Down'!M42)</f>
        <v>9256799.9999999981</v>
      </c>
      <c r="N16" s="130">
        <f>IF($B$5="Bottom-up",'Bottom-Up'!N24,'Top-Down'!N42)</f>
        <v>11570999.999999998</v>
      </c>
      <c r="P16" s="199"/>
      <c r="X16" s="200"/>
    </row>
    <row r="17" spans="1:24" ht="15" customHeight="1" x14ac:dyDescent="0.25">
      <c r="A17" s="36" t="str">
        <f>IF($B$5="Bottom-up",'Bottom-Up'!A25,'Top-Down'!A43)</f>
        <v>NakotaStar</v>
      </c>
      <c r="B17" s="129">
        <f>IF($B$5="Bottom-up",'Bottom-Up'!B25,'Top-Down'!B43)</f>
        <v>0</v>
      </c>
      <c r="C17" s="43">
        <f>IF($B$5="Bottom-up",'Bottom-Up'!C25,'Top-Down'!C43)</f>
        <v>0</v>
      </c>
      <c r="D17" s="43">
        <f>IF($B$5="Bottom-up",'Bottom-Up'!D25,'Top-Down'!D43)</f>
        <v>0</v>
      </c>
      <c r="E17" s="43">
        <f>IF($B$5="Bottom-up",'Bottom-Up'!E25,'Top-Down'!E43)</f>
        <v>0</v>
      </c>
      <c r="F17" s="43">
        <f>IF($B$5="Bottom-up",'Bottom-Up'!F25,'Top-Down'!F43)</f>
        <v>0</v>
      </c>
      <c r="G17" s="43">
        <f>IF($B$5="Bottom-up",'Bottom-Up'!G25,'Top-Down'!G43)</f>
        <v>0</v>
      </c>
      <c r="H17" s="43">
        <f>IF($B$5="Bottom-up",'Bottom-Up'!H25,'Top-Down'!H43)</f>
        <v>0</v>
      </c>
      <c r="I17" s="130">
        <f>IF($B$5="Bottom-up",'Bottom-Up'!I25,'Top-Down'!I43)</f>
        <v>0</v>
      </c>
      <c r="J17" s="281"/>
      <c r="K17" s="129">
        <f>IF($B$5="Bottom-up",'Bottom-Up'!K25,'Top-Down'!K43)</f>
        <v>2964000</v>
      </c>
      <c r="L17" s="43">
        <f>IF($B$5="Bottom-up",'Bottom-Up'!L25,'Top-Down'!L43)</f>
        <v>5928000</v>
      </c>
      <c r="M17" s="43">
        <f>IF($B$5="Bottom-up",'Bottom-Up'!M25,'Top-Down'!M43)</f>
        <v>11856000</v>
      </c>
      <c r="N17" s="130">
        <f>IF($B$5="Bottom-up",'Bottom-Up'!N25,'Top-Down'!N43)</f>
        <v>23712000</v>
      </c>
      <c r="P17" s="199"/>
      <c r="X17" s="200"/>
    </row>
    <row r="18" spans="1:24" ht="15" customHeight="1" thickBot="1" x14ac:dyDescent="0.3">
      <c r="A18" s="37" t="str">
        <f>IF($B$5="Bottom-up",'Bottom-Up'!A26,'Top-Down'!A44)</f>
        <v>Product 3</v>
      </c>
      <c r="B18" s="131">
        <f>IF($B$5="Bottom-up",'Bottom-Up'!B26,'Top-Down'!B44)</f>
        <v>0</v>
      </c>
      <c r="C18" s="44">
        <f>IF($B$5="Bottom-up",'Bottom-Up'!C26,'Top-Down'!C44)</f>
        <v>0</v>
      </c>
      <c r="D18" s="44">
        <f>IF($B$5="Bottom-up",'Bottom-Up'!D26,'Top-Down'!D44)</f>
        <v>0</v>
      </c>
      <c r="E18" s="44">
        <f>IF($B$5="Bottom-up",'Bottom-Up'!E26,'Top-Down'!E44)</f>
        <v>0</v>
      </c>
      <c r="F18" s="44">
        <f>IF($B$5="Bottom-up",'Bottom-Up'!F26,'Top-Down'!F44)</f>
        <v>0</v>
      </c>
      <c r="G18" s="44">
        <f>IF($B$5="Bottom-up",'Bottom-Up'!G26,'Top-Down'!G44)</f>
        <v>0</v>
      </c>
      <c r="H18" s="44">
        <f>IF($B$5="Bottom-up",'Bottom-Up'!H26,'Top-Down'!H44)</f>
        <v>0</v>
      </c>
      <c r="I18" s="132">
        <f>IF($B$5="Bottom-up",'Bottom-Up'!I26,'Top-Down'!I44)</f>
        <v>0</v>
      </c>
      <c r="J18" s="281"/>
      <c r="K18" s="131">
        <f>IF($B$5="Bottom-up",'Bottom-Up'!K26,'Top-Down'!K44)</f>
        <v>0</v>
      </c>
      <c r="L18" s="44">
        <f>IF($B$5="Bottom-up",'Bottom-Up'!L26,'Top-Down'!L44)</f>
        <v>0</v>
      </c>
      <c r="M18" s="44">
        <f>IF($B$5="Bottom-up",'Bottom-Up'!M26,'Top-Down'!M44)</f>
        <v>0</v>
      </c>
      <c r="N18" s="132">
        <f>IF($B$5="Bottom-up",'Bottom-Up'!N26,'Top-Down'!N44)</f>
        <v>0</v>
      </c>
      <c r="P18" s="199"/>
      <c r="X18" s="200"/>
    </row>
    <row r="19" spans="1:24" ht="15" customHeight="1" thickTop="1" x14ac:dyDescent="0.25">
      <c r="A19" s="73" t="s">
        <v>15</v>
      </c>
      <c r="B19" s="217">
        <f>SUM(B16:B18)</f>
        <v>0</v>
      </c>
      <c r="C19" s="218">
        <f t="shared" ref="C19:N19" si="2">SUM(C16:C18)</f>
        <v>0</v>
      </c>
      <c r="D19" s="218">
        <f t="shared" si="2"/>
        <v>0</v>
      </c>
      <c r="E19" s="218">
        <f t="shared" si="2"/>
        <v>0</v>
      </c>
      <c r="F19" s="218">
        <f t="shared" si="2"/>
        <v>578549.99999999988</v>
      </c>
      <c r="G19" s="218">
        <f t="shared" si="2"/>
        <v>578549.99999999988</v>
      </c>
      <c r="H19" s="218">
        <f t="shared" si="2"/>
        <v>578549.99999999988</v>
      </c>
      <c r="I19" s="219">
        <f t="shared" si="2"/>
        <v>578549.99999999988</v>
      </c>
      <c r="J19" s="281"/>
      <c r="K19" s="217">
        <f t="shared" si="2"/>
        <v>7592399.9999999991</v>
      </c>
      <c r="L19" s="218">
        <f t="shared" si="2"/>
        <v>12870600</v>
      </c>
      <c r="M19" s="218">
        <f t="shared" si="2"/>
        <v>21112800</v>
      </c>
      <c r="N19" s="219">
        <f t="shared" si="2"/>
        <v>35283000</v>
      </c>
      <c r="P19" s="199"/>
      <c r="X19" s="200"/>
    </row>
    <row r="20" spans="1:24" ht="15" customHeight="1" thickBot="1" x14ac:dyDescent="0.3">
      <c r="B20" s="25"/>
      <c r="C20" s="29"/>
      <c r="D20" s="29"/>
      <c r="E20" s="29"/>
      <c r="F20" s="29"/>
      <c r="G20" s="29"/>
      <c r="H20" s="30"/>
      <c r="I20" s="30"/>
      <c r="J20" s="30"/>
      <c r="K20" s="30"/>
      <c r="L20" s="30"/>
      <c r="M20" s="30"/>
      <c r="N20" s="30"/>
      <c r="P20" s="136"/>
      <c r="Q20" s="137"/>
      <c r="R20" s="137"/>
      <c r="S20" s="137"/>
      <c r="T20" s="137"/>
      <c r="U20" s="137"/>
      <c r="V20" s="137"/>
      <c r="W20" s="137"/>
      <c r="X20" s="138"/>
    </row>
    <row r="21" spans="1:24" ht="15" customHeight="1" thickTop="1" x14ac:dyDescent="0.25">
      <c r="B21" s="25"/>
      <c r="C21" s="29"/>
      <c r="D21" s="29"/>
      <c r="E21" s="29"/>
      <c r="F21" s="29"/>
      <c r="G21" s="29"/>
      <c r="H21" s="30"/>
      <c r="I21" s="30"/>
      <c r="J21" s="30"/>
      <c r="K21" s="30"/>
      <c r="L21" s="30"/>
      <c r="M21" s="30"/>
      <c r="N21" s="30"/>
      <c r="P21" s="258"/>
      <c r="Q21" s="259"/>
      <c r="R21" s="259"/>
      <c r="S21" s="259"/>
      <c r="T21" s="259"/>
      <c r="U21" s="259"/>
      <c r="V21" s="259"/>
      <c r="W21" s="259"/>
      <c r="X21" s="255"/>
    </row>
    <row r="22" spans="1:24" ht="17.25" x14ac:dyDescent="0.3">
      <c r="P22" s="199"/>
      <c r="Q22" s="253" t="s">
        <v>199</v>
      </c>
      <c r="X22" s="200"/>
    </row>
    <row r="23" spans="1:24" x14ac:dyDescent="0.25">
      <c r="K23" s="252"/>
      <c r="P23" s="199"/>
      <c r="X23" s="200"/>
    </row>
    <row r="24" spans="1:24" s="53" customFormat="1" x14ac:dyDescent="0.25">
      <c r="P24" s="199"/>
      <c r="Q24"/>
      <c r="R24" s="309" t="s">
        <v>200</v>
      </c>
      <c r="S24" s="310"/>
      <c r="T24" s="310"/>
      <c r="U24" s="310"/>
      <c r="V24" s="310"/>
      <c r="W24" s="311"/>
      <c r="X24" s="200"/>
    </row>
    <row r="25" spans="1:24" x14ac:dyDescent="0.25">
      <c r="P25" s="199"/>
      <c r="R25" s="97" t="s">
        <v>193</v>
      </c>
      <c r="S25" s="98" t="s">
        <v>194</v>
      </c>
      <c r="T25" s="98" t="s">
        <v>135</v>
      </c>
      <c r="U25" s="98" t="s">
        <v>136</v>
      </c>
      <c r="V25" s="98" t="s">
        <v>137</v>
      </c>
      <c r="W25" s="99" t="s">
        <v>225</v>
      </c>
      <c r="X25" s="200"/>
    </row>
    <row r="26" spans="1:24" x14ac:dyDescent="0.25">
      <c r="P26" s="199"/>
      <c r="R26" s="93">
        <f>B15</f>
        <v>43831</v>
      </c>
      <c r="S26" s="52">
        <f>F15</f>
        <v>44197</v>
      </c>
      <c r="T26" s="52">
        <f>K15</f>
        <v>44562</v>
      </c>
      <c r="U26" s="52">
        <f t="shared" ref="U26" si="3">EDATE(T26,12)</f>
        <v>44927</v>
      </c>
      <c r="V26" s="52">
        <f t="shared" ref="V26" si="4">EDATE(U26,12)</f>
        <v>45292</v>
      </c>
      <c r="W26" s="96">
        <f t="shared" ref="W26" si="5">EDATE(V26,12)</f>
        <v>45658</v>
      </c>
      <c r="X26" s="200"/>
    </row>
    <row r="27" spans="1:24" x14ac:dyDescent="0.25">
      <c r="P27" s="199"/>
      <c r="Q27" s="36" t="str">
        <f>A16</f>
        <v>Wonderfoal</v>
      </c>
      <c r="R27" s="94">
        <f>SUM(B16:E16)</f>
        <v>0</v>
      </c>
      <c r="S27" s="87">
        <f>SUM(F16:I16)</f>
        <v>2314199.9999999995</v>
      </c>
      <c r="T27" s="87">
        <f>K16</f>
        <v>4628399.9999999991</v>
      </c>
      <c r="U27" s="87">
        <f t="shared" ref="U27:W29" si="6">L16</f>
        <v>6942599.9999999991</v>
      </c>
      <c r="V27" s="87">
        <f t="shared" si="6"/>
        <v>9256799.9999999981</v>
      </c>
      <c r="W27" s="90">
        <f t="shared" si="6"/>
        <v>11570999.999999998</v>
      </c>
      <c r="X27" s="200"/>
    </row>
    <row r="28" spans="1:24" s="26" customFormat="1" x14ac:dyDescent="0.25">
      <c r="P28" s="199"/>
      <c r="Q28" s="36" t="str">
        <f>A17</f>
        <v>NakotaStar</v>
      </c>
      <c r="R28" s="94">
        <f>SUM(B17:E17)</f>
        <v>0</v>
      </c>
      <c r="S28" s="87">
        <f>SUM(F17:I17)</f>
        <v>0</v>
      </c>
      <c r="T28" s="87">
        <f>K17</f>
        <v>2964000</v>
      </c>
      <c r="U28" s="87">
        <f t="shared" si="6"/>
        <v>5928000</v>
      </c>
      <c r="V28" s="87">
        <f t="shared" si="6"/>
        <v>11856000</v>
      </c>
      <c r="W28" s="90">
        <f t="shared" si="6"/>
        <v>23712000</v>
      </c>
      <c r="X28" s="200"/>
    </row>
    <row r="29" spans="1:24" ht="15.75" thickBot="1" x14ac:dyDescent="0.3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P29" s="199"/>
      <c r="Q29" s="36" t="str">
        <f>A18</f>
        <v>Product 3</v>
      </c>
      <c r="R29" s="95">
        <f>SUM(B18:E18)</f>
        <v>0</v>
      </c>
      <c r="S29" s="88">
        <f>SUM(F18:I18)</f>
        <v>0</v>
      </c>
      <c r="T29" s="88">
        <f>K18</f>
        <v>0</v>
      </c>
      <c r="U29" s="88">
        <f t="shared" si="6"/>
        <v>0</v>
      </c>
      <c r="V29" s="88">
        <f t="shared" si="6"/>
        <v>0</v>
      </c>
      <c r="W29" s="91">
        <f t="shared" si="6"/>
        <v>0</v>
      </c>
      <c r="X29" s="200"/>
    </row>
    <row r="30" spans="1:24" ht="15.75" thickTop="1" x14ac:dyDescent="0.25">
      <c r="P30" s="199"/>
      <c r="R30" s="74">
        <f t="shared" ref="R30:W30" si="7">SUM(R27:R29)</f>
        <v>0</v>
      </c>
      <c r="S30" s="74">
        <f t="shared" si="7"/>
        <v>2314199.9999999995</v>
      </c>
      <c r="T30" s="74">
        <f t="shared" si="7"/>
        <v>7592399.9999999991</v>
      </c>
      <c r="U30" s="74">
        <f t="shared" si="7"/>
        <v>12870600</v>
      </c>
      <c r="V30" s="74">
        <f t="shared" si="7"/>
        <v>21112800</v>
      </c>
      <c r="W30" s="119">
        <f t="shared" si="7"/>
        <v>35283000</v>
      </c>
      <c r="X30" s="200"/>
    </row>
    <row r="31" spans="1:24" x14ac:dyDescent="0.25">
      <c r="P31" s="199"/>
      <c r="X31" s="200"/>
    </row>
    <row r="32" spans="1:24" x14ac:dyDescent="0.25">
      <c r="P32" s="199"/>
      <c r="X32" s="200"/>
    </row>
    <row r="33" spans="16:24" x14ac:dyDescent="0.25">
      <c r="P33" s="199"/>
      <c r="X33" s="200"/>
    </row>
    <row r="34" spans="16:24" x14ac:dyDescent="0.25">
      <c r="P34" s="199"/>
      <c r="X34" s="200"/>
    </row>
    <row r="35" spans="16:24" x14ac:dyDescent="0.25">
      <c r="P35" s="199"/>
      <c r="X35" s="200"/>
    </row>
    <row r="36" spans="16:24" x14ac:dyDescent="0.25">
      <c r="P36" s="199"/>
      <c r="X36" s="200"/>
    </row>
    <row r="37" spans="16:24" x14ac:dyDescent="0.25">
      <c r="P37" s="199"/>
      <c r="X37" s="200"/>
    </row>
    <row r="38" spans="16:24" x14ac:dyDescent="0.25">
      <c r="P38" s="199"/>
      <c r="X38" s="200"/>
    </row>
    <row r="39" spans="16:24" x14ac:dyDescent="0.25">
      <c r="P39" s="199"/>
      <c r="X39" s="200"/>
    </row>
    <row r="40" spans="16:24" x14ac:dyDescent="0.25">
      <c r="P40" s="199"/>
      <c r="X40" s="200"/>
    </row>
    <row r="41" spans="16:24" x14ac:dyDescent="0.25">
      <c r="P41" s="199"/>
      <c r="X41" s="200"/>
    </row>
    <row r="42" spans="16:24" x14ac:dyDescent="0.25">
      <c r="P42" s="199"/>
      <c r="X42" s="200"/>
    </row>
    <row r="43" spans="16:24" x14ac:dyDescent="0.25">
      <c r="P43" s="199"/>
      <c r="X43" s="200"/>
    </row>
    <row r="44" spans="16:24" x14ac:dyDescent="0.25">
      <c r="P44" s="199"/>
      <c r="X44" s="200"/>
    </row>
    <row r="45" spans="16:24" x14ac:dyDescent="0.25">
      <c r="P45" s="199"/>
      <c r="X45" s="200"/>
    </row>
    <row r="46" spans="16:24" x14ac:dyDescent="0.25">
      <c r="P46" s="199"/>
      <c r="X46" s="200"/>
    </row>
    <row r="47" spans="16:24" x14ac:dyDescent="0.25">
      <c r="P47" s="199"/>
      <c r="X47" s="200"/>
    </row>
    <row r="48" spans="16:24" ht="15.75" thickBot="1" x14ac:dyDescent="0.3">
      <c r="P48" s="136"/>
      <c r="Q48" s="137"/>
      <c r="R48" s="137"/>
      <c r="S48" s="137"/>
      <c r="T48" s="137"/>
      <c r="U48" s="137"/>
      <c r="V48" s="137"/>
      <c r="W48" s="137"/>
      <c r="X48" s="138"/>
    </row>
    <row r="49" ht="15.75" thickTop="1" x14ac:dyDescent="0.25"/>
  </sheetData>
  <mergeCells count="5">
    <mergeCell ref="B13:I13"/>
    <mergeCell ref="K13:N13"/>
    <mergeCell ref="B14:E14"/>
    <mergeCell ref="F14:I14"/>
    <mergeCell ref="R24:W24"/>
  </mergeCells>
  <conditionalFormatting sqref="B19:I19 K19:N19">
    <cfRule type="cellIs" dxfId="59" priority="1" operator="lessThan">
      <formula>0</formula>
    </cfRule>
  </conditionalFormatting>
  <dataValidations count="1">
    <dataValidation type="list" allowBlank="1" showInputMessage="1" showErrorMessage="1" sqref="B5" xr:uid="{00000000-0002-0000-0500-000000000000}">
      <formula1>RevProjOptions</formula1>
    </dataValidation>
  </dataValidations>
  <pageMargins left="0.25" right="0.25" top="0.75" bottom="0.75" header="0.3" footer="0.3"/>
  <pageSetup paperSize="5" scale="5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theme="9" tint="0.59999389629810485"/>
    <pageSetUpPr fitToPage="1"/>
  </sheetPr>
  <dimension ref="A1:AD100"/>
  <sheetViews>
    <sheetView topLeftCell="E22" workbookViewId="0">
      <selection activeCell="H56" sqref="H56"/>
    </sheetView>
  </sheetViews>
  <sheetFormatPr defaultColWidth="8.85546875" defaultRowHeight="15" x14ac:dyDescent="0.25"/>
  <cols>
    <col min="1" max="1" width="20.140625" customWidth="1"/>
    <col min="2" max="2" width="13.42578125" customWidth="1"/>
    <col min="3" max="9" width="11.85546875" customWidth="1"/>
    <col min="10" max="10" width="10.42578125" customWidth="1"/>
    <col min="11" max="14" width="12.42578125" customWidth="1"/>
    <col min="15" max="15" width="10" customWidth="1"/>
    <col min="16" max="16" width="3.85546875" customWidth="1"/>
    <col min="17" max="23" width="14.42578125" customWidth="1"/>
    <col min="24" max="24" width="3.85546875" customWidth="1"/>
    <col min="27" max="27" width="10.42578125" bestFit="1" customWidth="1"/>
  </cols>
  <sheetData>
    <row r="1" spans="1:24" ht="24.75" thickTop="1" thickBot="1" x14ac:dyDescent="0.4">
      <c r="A1" s="33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260" t="str">
        <f>CompanyName &amp;" COGS Forecast - Top-down"</f>
        <v>WorkHorse Inc. COGS Forecast - Top-down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"COGS ("&amp;SubHeader&amp;")"</f>
        <v>COGS (USD)</v>
      </c>
      <c r="B2" s="86"/>
      <c r="C2" s="28"/>
      <c r="D2" s="28"/>
      <c r="P2" s="199"/>
      <c r="X2" s="200"/>
    </row>
    <row r="3" spans="1:24" ht="17.25" x14ac:dyDescent="0.3">
      <c r="B3" s="86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 t="s">
        <v>198</v>
      </c>
      <c r="X3" s="200"/>
    </row>
    <row r="4" spans="1:24" x14ac:dyDescent="0.25">
      <c r="A4" t="s">
        <v>244</v>
      </c>
      <c r="P4" s="199"/>
      <c r="X4" s="200"/>
    </row>
    <row r="5" spans="1:24" s="39" customFormat="1" ht="15.75" x14ac:dyDescent="0.25">
      <c r="A5"/>
      <c r="B5" t="s">
        <v>46</v>
      </c>
      <c r="P5" s="256"/>
      <c r="X5" s="257"/>
    </row>
    <row r="6" spans="1:24" x14ac:dyDescent="0.25">
      <c r="B6" t="s">
        <v>47</v>
      </c>
      <c r="I6" s="276"/>
      <c r="J6" s="276"/>
      <c r="K6" s="276"/>
      <c r="P6" s="199"/>
      <c r="X6" s="200"/>
    </row>
    <row r="7" spans="1:24" x14ac:dyDescent="0.25">
      <c r="P7" s="199"/>
      <c r="X7" s="200"/>
    </row>
    <row r="8" spans="1:24" ht="19.5" x14ac:dyDescent="0.3">
      <c r="A8" s="35" t="s">
        <v>38</v>
      </c>
      <c r="P8" s="199"/>
      <c r="X8" s="200"/>
    </row>
    <row r="9" spans="1:24" ht="19.5" x14ac:dyDescent="0.3">
      <c r="A9" s="35"/>
      <c r="P9" s="199"/>
      <c r="X9" s="200"/>
    </row>
    <row r="10" spans="1:24" ht="17.25" x14ac:dyDescent="0.3">
      <c r="A10" s="253" t="s">
        <v>149</v>
      </c>
      <c r="B10" s="54"/>
      <c r="C10" s="55"/>
      <c r="D10" s="55"/>
      <c r="E10" s="55"/>
      <c r="F10" s="54"/>
      <c r="G10" s="55"/>
      <c r="H10" s="46"/>
      <c r="I10" s="46"/>
      <c r="J10" s="46"/>
      <c r="K10" s="54"/>
      <c r="L10" s="46"/>
      <c r="M10" s="46"/>
      <c r="N10" s="46"/>
      <c r="P10" s="199"/>
      <c r="X10" s="200"/>
    </row>
    <row r="11" spans="1:24" ht="17.25" x14ac:dyDescent="0.3">
      <c r="A11" s="253"/>
      <c r="B11" s="104" t="s">
        <v>259</v>
      </c>
      <c r="C11" s="332" t="s">
        <v>22</v>
      </c>
      <c r="D11" s="332"/>
      <c r="E11" s="333"/>
      <c r="F11" s="104" t="s">
        <v>260</v>
      </c>
      <c r="G11" s="332" t="s">
        <v>22</v>
      </c>
      <c r="H11" s="332"/>
      <c r="I11" s="333"/>
      <c r="J11" s="104" t="str">
        <f>Revenues!A18</f>
        <v>Product 3</v>
      </c>
      <c r="K11" s="332" t="s">
        <v>22</v>
      </c>
      <c r="L11" s="332"/>
      <c r="M11" s="333"/>
      <c r="P11" s="199"/>
      <c r="X11" s="200"/>
    </row>
    <row r="12" spans="1:24" x14ac:dyDescent="0.25">
      <c r="A12" s="56" t="s">
        <v>39</v>
      </c>
      <c r="B12" s="152">
        <f>(('Bottom-Up'!B9)-('Bottom-Up'!B6*0.25))/'Bottom-Up'!B9</f>
        <v>0.56140350877192979</v>
      </c>
      <c r="C12" s="334" t="s">
        <v>243</v>
      </c>
      <c r="D12" s="334"/>
      <c r="E12" s="335"/>
      <c r="F12" s="152">
        <f>(('Bottom-Up'!F9)-('Bottom-Up'!F6*0.25))/'Bottom-Up'!F9</f>
        <v>0.34210526315789469</v>
      </c>
      <c r="G12" s="334" t="s">
        <v>243</v>
      </c>
      <c r="H12" s="334"/>
      <c r="I12" s="335"/>
      <c r="J12" s="152"/>
      <c r="K12" s="334"/>
      <c r="L12" s="334"/>
      <c r="M12" s="335"/>
      <c r="P12" s="199"/>
      <c r="X12" s="200"/>
    </row>
    <row r="13" spans="1:24" ht="19.5" x14ac:dyDescent="0.3">
      <c r="A13" s="35"/>
      <c r="P13" s="199"/>
      <c r="X13" s="200"/>
    </row>
    <row r="14" spans="1:24" ht="17.25" x14ac:dyDescent="0.3">
      <c r="A14" s="253" t="s">
        <v>196</v>
      </c>
      <c r="P14" s="199"/>
      <c r="X14" s="200"/>
    </row>
    <row r="15" spans="1:24" x14ac:dyDescent="0.25">
      <c r="A15" s="31"/>
      <c r="B15" s="306" t="s">
        <v>145</v>
      </c>
      <c r="C15" s="307"/>
      <c r="D15" s="307"/>
      <c r="E15" s="307"/>
      <c r="F15" s="307"/>
      <c r="G15" s="307"/>
      <c r="H15" s="307"/>
      <c r="I15" s="308"/>
      <c r="J15" s="281"/>
      <c r="K15" s="309" t="s">
        <v>146</v>
      </c>
      <c r="L15" s="310"/>
      <c r="M15" s="310"/>
      <c r="N15" s="311"/>
      <c r="P15" s="199"/>
      <c r="X15" s="200"/>
    </row>
    <row r="16" spans="1:24" x14ac:dyDescent="0.25">
      <c r="A16" s="31"/>
      <c r="B16" s="312" t="s">
        <v>193</v>
      </c>
      <c r="C16" s="313"/>
      <c r="D16" s="313"/>
      <c r="E16" s="314"/>
      <c r="F16" s="315" t="s">
        <v>194</v>
      </c>
      <c r="G16" s="313"/>
      <c r="H16" s="313"/>
      <c r="I16" s="316"/>
      <c r="J16" s="281"/>
      <c r="K16" s="97" t="s">
        <v>135</v>
      </c>
      <c r="L16" s="98" t="s">
        <v>136</v>
      </c>
      <c r="M16" s="98" t="s">
        <v>137</v>
      </c>
      <c r="N16" s="99" t="s">
        <v>225</v>
      </c>
      <c r="P16" s="199"/>
      <c r="X16" s="200"/>
    </row>
    <row r="17" spans="1:24" x14ac:dyDescent="0.25">
      <c r="A17" s="51"/>
      <c r="B17" s="93">
        <f>StartDate</f>
        <v>43831</v>
      </c>
      <c r="C17" s="52">
        <f>EDATE(B17,3)</f>
        <v>43922</v>
      </c>
      <c r="D17" s="52">
        <f t="shared" ref="D17" si="0">EDATE(C17,3)</f>
        <v>44013</v>
      </c>
      <c r="E17" s="52">
        <f t="shared" ref="E17" si="1">EDATE(D17,3)</f>
        <v>44105</v>
      </c>
      <c r="F17" s="52">
        <f t="shared" ref="F17" si="2">EDATE(E17,3)</f>
        <v>44197</v>
      </c>
      <c r="G17" s="52">
        <f t="shared" ref="G17" si="3">EDATE(F17,3)</f>
        <v>44287</v>
      </c>
      <c r="H17" s="52">
        <f t="shared" ref="H17" si="4">EDATE(G17,3)</f>
        <v>44378</v>
      </c>
      <c r="I17" s="89">
        <f t="shared" ref="I17" si="5">EDATE(H17,3)</f>
        <v>44470</v>
      </c>
      <c r="J17" s="281"/>
      <c r="K17" s="93">
        <f>EDATE(I17,3)</f>
        <v>44562</v>
      </c>
      <c r="L17" s="52">
        <f t="shared" ref="L17" si="6">EDATE(K17,12)</f>
        <v>44927</v>
      </c>
      <c r="M17" s="52">
        <f t="shared" ref="M17:N17" si="7">EDATE(L17,12)</f>
        <v>45292</v>
      </c>
      <c r="N17" s="96">
        <f t="shared" si="7"/>
        <v>45658</v>
      </c>
      <c r="P17" s="199"/>
      <c r="X17" s="200"/>
    </row>
    <row r="18" spans="1:24" x14ac:dyDescent="0.25">
      <c r="A18" s="36" t="str">
        <f>B11</f>
        <v>Wonderfoal</v>
      </c>
      <c r="B18" s="129">
        <f>Revenues!B16*(1-COGS!$B$12)</f>
        <v>0</v>
      </c>
      <c r="C18" s="43">
        <f>Revenues!C16*(1-COGS!$B$12)</f>
        <v>0</v>
      </c>
      <c r="D18" s="43">
        <f>Revenues!D16*(1-COGS!$B$12)</f>
        <v>0</v>
      </c>
      <c r="E18" s="43">
        <f>Revenues!E16*(1-COGS!$B$12)</f>
        <v>0</v>
      </c>
      <c r="F18" s="43">
        <f>Revenues!F16*(1-COGS!$B$12)</f>
        <v>253749.99999999997</v>
      </c>
      <c r="G18" s="43">
        <f>Revenues!G16*(1-COGS!$B$12)</f>
        <v>253749.99999999997</v>
      </c>
      <c r="H18" s="43">
        <f>Revenues!H16*(1-COGS!$B$12)</f>
        <v>253749.99999999997</v>
      </c>
      <c r="I18" s="130">
        <f>Revenues!I16*(1-COGS!$B$12)</f>
        <v>253749.99999999997</v>
      </c>
      <c r="J18" s="281"/>
      <c r="K18" s="129">
        <f>Revenues!K16*(1-COGS!$B$12)</f>
        <v>2029999.9999999998</v>
      </c>
      <c r="L18" s="43">
        <f>Revenues!L16*(1-COGS!$B$12)</f>
        <v>3045000</v>
      </c>
      <c r="M18" s="43">
        <f>Revenues!M16*(1-COGS!$B$12)</f>
        <v>4059999.9999999995</v>
      </c>
      <c r="N18" s="130">
        <f>Revenues!N16*(1-COGS!$B$12)</f>
        <v>5075000</v>
      </c>
      <c r="P18" s="199"/>
      <c r="X18" s="200"/>
    </row>
    <row r="19" spans="1:24" x14ac:dyDescent="0.25">
      <c r="A19" s="36" t="str">
        <f>F11</f>
        <v>NakotaStar</v>
      </c>
      <c r="B19" s="129">
        <f>Revenues!B17*(1-COGS!$F$12)</f>
        <v>0</v>
      </c>
      <c r="C19" s="43">
        <f>Revenues!C17*(1-COGS!$F$12)</f>
        <v>0</v>
      </c>
      <c r="D19" s="43">
        <f>Revenues!D17*(1-COGS!$F$12)</f>
        <v>0</v>
      </c>
      <c r="E19" s="43">
        <f>Revenues!E17*(1-COGS!$F$12)</f>
        <v>0</v>
      </c>
      <c r="F19" s="43">
        <f>Revenues!F17*(1-COGS!$F$12)</f>
        <v>0</v>
      </c>
      <c r="G19" s="43">
        <f>Revenues!G17*(1-COGS!$F$12)</f>
        <v>0</v>
      </c>
      <c r="H19" s="43">
        <f>Revenues!H17*(1-COGS!$F$12)</f>
        <v>0</v>
      </c>
      <c r="I19" s="130">
        <f>Revenues!I17*(1-COGS!$F$12)</f>
        <v>0</v>
      </c>
      <c r="J19" s="281"/>
      <c r="K19" s="129">
        <f>Revenues!K17*(1-COGS!$F$12)</f>
        <v>1950000.0000000002</v>
      </c>
      <c r="L19" s="43">
        <f>Revenues!L17*(1-COGS!$F$12)</f>
        <v>3900000.0000000005</v>
      </c>
      <c r="M19" s="43">
        <f>Revenues!M17*(1-COGS!$F$12)</f>
        <v>7800000.0000000009</v>
      </c>
      <c r="N19" s="130">
        <f>Revenues!N17*(1-COGS!$F$12)</f>
        <v>15600000.000000002</v>
      </c>
      <c r="P19" s="199"/>
      <c r="X19" s="200"/>
    </row>
    <row r="20" spans="1:24" ht="15.75" thickBot="1" x14ac:dyDescent="0.3">
      <c r="A20" s="37" t="str">
        <f>J11</f>
        <v>Product 3</v>
      </c>
      <c r="B20" s="131">
        <f>Revenues!B18*(1-COGS!$F$12)</f>
        <v>0</v>
      </c>
      <c r="C20" s="44">
        <f>Revenues!C18*(1-COGS!$J$12)</f>
        <v>0</v>
      </c>
      <c r="D20" s="44">
        <f>Revenues!D18*(1-COGS!$J$12)</f>
        <v>0</v>
      </c>
      <c r="E20" s="44">
        <f>Revenues!E18*(1-COGS!$J$12)</f>
        <v>0</v>
      </c>
      <c r="F20" s="44">
        <f>Revenues!F18*(1-COGS!$J$12)</f>
        <v>0</v>
      </c>
      <c r="G20" s="44">
        <f>Revenues!G18*(1-COGS!$J$12)</f>
        <v>0</v>
      </c>
      <c r="H20" s="44">
        <f>Revenues!H18*(1-COGS!$J$12)</f>
        <v>0</v>
      </c>
      <c r="I20" s="132">
        <f>Revenues!I18*(1-COGS!$J$12)</f>
        <v>0</v>
      </c>
      <c r="J20" s="281"/>
      <c r="K20" s="131">
        <f>Revenues!K18*(1-COGS!$J$12)</f>
        <v>0</v>
      </c>
      <c r="L20" s="44">
        <f>Revenues!L18*(1-COGS!$J$12)</f>
        <v>0</v>
      </c>
      <c r="M20" s="44">
        <f>Revenues!M18*(1-COGS!$J$12)</f>
        <v>0</v>
      </c>
      <c r="N20" s="132">
        <f>Revenues!N18*(1-COGS!$J$12)</f>
        <v>0</v>
      </c>
      <c r="P20" s="136"/>
      <c r="Q20" s="137"/>
      <c r="R20" s="137"/>
      <c r="S20" s="137"/>
      <c r="T20" s="137"/>
      <c r="U20" s="137"/>
      <c r="V20" s="137"/>
      <c r="W20" s="137"/>
      <c r="X20" s="138"/>
    </row>
    <row r="21" spans="1:24" ht="15.75" thickTop="1" x14ac:dyDescent="0.25">
      <c r="A21" s="38" t="s">
        <v>15</v>
      </c>
      <c r="B21" s="135">
        <f>SUM(B18:B20)</f>
        <v>0</v>
      </c>
      <c r="C21" s="45">
        <f t="shared" ref="C21:N21" si="8">SUM(C18:C20)</f>
        <v>0</v>
      </c>
      <c r="D21" s="45">
        <f t="shared" si="8"/>
        <v>0</v>
      </c>
      <c r="E21" s="45">
        <f t="shared" si="8"/>
        <v>0</v>
      </c>
      <c r="F21" s="45">
        <f t="shared" si="8"/>
        <v>253749.99999999997</v>
      </c>
      <c r="G21" s="45">
        <f t="shared" si="8"/>
        <v>253749.99999999997</v>
      </c>
      <c r="H21" s="45">
        <f t="shared" si="8"/>
        <v>253749.99999999997</v>
      </c>
      <c r="I21" s="92">
        <f t="shared" si="8"/>
        <v>253749.99999999997</v>
      </c>
      <c r="J21" s="281"/>
      <c r="K21" s="135">
        <f t="shared" si="8"/>
        <v>3980000</v>
      </c>
      <c r="L21" s="45">
        <f t="shared" si="8"/>
        <v>6945000</v>
      </c>
      <c r="M21" s="45">
        <f t="shared" si="8"/>
        <v>11860000</v>
      </c>
      <c r="N21" s="92">
        <f t="shared" si="8"/>
        <v>20675000</v>
      </c>
      <c r="P21" s="258"/>
      <c r="Q21" s="259"/>
      <c r="R21" s="259"/>
      <c r="S21" s="259"/>
      <c r="T21" s="259"/>
      <c r="U21" s="259"/>
      <c r="V21" s="259"/>
      <c r="W21" s="259"/>
      <c r="X21" s="255"/>
    </row>
    <row r="22" spans="1:24" ht="17.25" x14ac:dyDescent="0.3">
      <c r="P22" s="199"/>
      <c r="Q22" s="253" t="s">
        <v>199</v>
      </c>
      <c r="X22" s="200"/>
    </row>
    <row r="23" spans="1:24" ht="15" customHeight="1" x14ac:dyDescent="0.25">
      <c r="I23" s="280"/>
      <c r="J23" s="280"/>
      <c r="P23" s="199"/>
      <c r="X23" s="200"/>
    </row>
    <row r="24" spans="1:24" ht="19.5" x14ac:dyDescent="0.3">
      <c r="A24" s="35" t="s">
        <v>37</v>
      </c>
      <c r="P24" s="199"/>
      <c r="R24" s="309" t="s">
        <v>200</v>
      </c>
      <c r="S24" s="310"/>
      <c r="T24" s="310"/>
      <c r="U24" s="310"/>
      <c r="V24" s="310"/>
      <c r="W24" s="311"/>
      <c r="X24" s="200"/>
    </row>
    <row r="25" spans="1:24" ht="14.25" customHeight="1" x14ac:dyDescent="0.3">
      <c r="A25" s="35"/>
      <c r="P25" s="199"/>
      <c r="R25" s="97" t="s">
        <v>193</v>
      </c>
      <c r="S25" s="98" t="s">
        <v>194</v>
      </c>
      <c r="T25" s="98" t="s">
        <v>135</v>
      </c>
      <c r="U25" s="98" t="s">
        <v>136</v>
      </c>
      <c r="V25" s="98" t="s">
        <v>137</v>
      </c>
      <c r="W25" s="99" t="s">
        <v>225</v>
      </c>
      <c r="X25" s="200"/>
    </row>
    <row r="26" spans="1:24" ht="17.45" customHeight="1" x14ac:dyDescent="0.3">
      <c r="A26" s="253" t="str">
        <f>"Bottom-up Assumptions - Unit Costs to Manufacture (in "&amp;SubHeader&amp;")"</f>
        <v>Bottom-up Assumptions - Unit Costs to Manufacture (in USD)</v>
      </c>
      <c r="B26" s="25"/>
      <c r="C26" s="29"/>
      <c r="D26" s="29"/>
      <c r="E26" s="29"/>
      <c r="F26" s="29"/>
      <c r="G26" s="29"/>
      <c r="H26" s="30"/>
      <c r="I26" s="30"/>
      <c r="J26" s="30"/>
      <c r="K26" s="30"/>
      <c r="L26" s="30"/>
      <c r="M26" s="30"/>
      <c r="N26" s="30"/>
      <c r="P26" s="199"/>
      <c r="R26" s="93">
        <f>B17</f>
        <v>43831</v>
      </c>
      <c r="S26" s="52">
        <f>F17</f>
        <v>44197</v>
      </c>
      <c r="T26" s="52">
        <f>K17</f>
        <v>44562</v>
      </c>
      <c r="U26" s="52">
        <f t="shared" ref="U26:W26" si="9">EDATE(T26,12)</f>
        <v>44927</v>
      </c>
      <c r="V26" s="52">
        <f t="shared" si="9"/>
        <v>45292</v>
      </c>
      <c r="W26" s="96">
        <f t="shared" si="9"/>
        <v>45658</v>
      </c>
      <c r="X26" s="200"/>
    </row>
    <row r="27" spans="1:24" ht="15.6" customHeight="1" x14ac:dyDescent="0.25">
      <c r="A27" s="39"/>
      <c r="B27" s="104" t="str">
        <f>'Bottom-Up'!B5</f>
        <v>Wonderfoal</v>
      </c>
      <c r="C27" s="332" t="s">
        <v>22</v>
      </c>
      <c r="D27" s="332"/>
      <c r="E27" s="333"/>
      <c r="F27" s="104" t="str">
        <f>'Bottom-Up'!F5</f>
        <v>NakotaStar</v>
      </c>
      <c r="G27" s="332" t="s">
        <v>22</v>
      </c>
      <c r="H27" s="332"/>
      <c r="I27" s="333"/>
      <c r="J27" s="104" t="str">
        <f>'Bottom-Up'!J5</f>
        <v>Product 3</v>
      </c>
      <c r="K27" s="332" t="s">
        <v>22</v>
      </c>
      <c r="L27" s="332"/>
      <c r="M27" s="333"/>
      <c r="P27" s="199"/>
      <c r="Q27" s="36" t="str">
        <f>A18</f>
        <v>Wonderfoal</v>
      </c>
      <c r="R27" s="94">
        <f>SUM(B18:E18)</f>
        <v>0</v>
      </c>
      <c r="S27" s="87">
        <f>SUM(F18:I18)</f>
        <v>1014999.9999999999</v>
      </c>
      <c r="T27" s="87">
        <f t="shared" ref="T27:W27" si="10">K18</f>
        <v>2029999.9999999998</v>
      </c>
      <c r="U27" s="87">
        <f t="shared" si="10"/>
        <v>3045000</v>
      </c>
      <c r="V27" s="87">
        <f t="shared" si="10"/>
        <v>4059999.9999999995</v>
      </c>
      <c r="W27" s="90">
        <f t="shared" si="10"/>
        <v>5075000</v>
      </c>
      <c r="X27" s="200"/>
    </row>
    <row r="28" spans="1:24" x14ac:dyDescent="0.25">
      <c r="A28" s="40" t="s">
        <v>263</v>
      </c>
      <c r="B28" s="148">
        <v>45</v>
      </c>
      <c r="C28" s="327"/>
      <c r="D28" s="327"/>
      <c r="E28" s="328"/>
      <c r="F28" s="148">
        <v>55</v>
      </c>
      <c r="G28" s="327"/>
      <c r="H28" s="327"/>
      <c r="I28" s="328"/>
      <c r="J28" s="148"/>
      <c r="K28" s="327"/>
      <c r="L28" s="327"/>
      <c r="M28" s="328"/>
      <c r="P28" s="199"/>
      <c r="Q28" s="36" t="str">
        <f>A19</f>
        <v>NakotaStar</v>
      </c>
      <c r="R28" s="94">
        <f t="shared" ref="R28:R29" si="11">SUM(B19:E19)</f>
        <v>0</v>
      </c>
      <c r="S28" s="87">
        <f t="shared" ref="S28:S29" si="12">SUM(F19:I19)</f>
        <v>0</v>
      </c>
      <c r="T28" s="87">
        <f t="shared" ref="T28:W28" si="13">K19</f>
        <v>1950000.0000000002</v>
      </c>
      <c r="U28" s="87">
        <f t="shared" si="13"/>
        <v>3900000.0000000005</v>
      </c>
      <c r="V28" s="87">
        <f t="shared" si="13"/>
        <v>7800000.0000000009</v>
      </c>
      <c r="W28" s="90">
        <f t="shared" si="13"/>
        <v>15600000.000000002</v>
      </c>
      <c r="X28" s="200"/>
    </row>
    <row r="29" spans="1:24" ht="15.75" thickBot="1" x14ac:dyDescent="0.3">
      <c r="A29" s="41" t="s">
        <v>264</v>
      </c>
      <c r="B29" s="148">
        <v>35</v>
      </c>
      <c r="C29" s="321"/>
      <c r="D29" s="321"/>
      <c r="E29" s="322"/>
      <c r="F29" s="148">
        <v>45</v>
      </c>
      <c r="G29" s="321"/>
      <c r="H29" s="321"/>
      <c r="I29" s="322"/>
      <c r="J29" s="148"/>
      <c r="K29" s="321"/>
      <c r="L29" s="321"/>
      <c r="M29" s="322"/>
      <c r="P29" s="199"/>
      <c r="Q29" s="36" t="str">
        <f>A20</f>
        <v>Product 3</v>
      </c>
      <c r="R29" s="95">
        <f t="shared" si="11"/>
        <v>0</v>
      </c>
      <c r="S29" s="88">
        <f t="shared" si="12"/>
        <v>0</v>
      </c>
      <c r="T29" s="88">
        <f t="shared" ref="T29:W29" si="14">K20</f>
        <v>0</v>
      </c>
      <c r="U29" s="88">
        <f t="shared" si="14"/>
        <v>0</v>
      </c>
      <c r="V29" s="88">
        <f t="shared" si="14"/>
        <v>0</v>
      </c>
      <c r="W29" s="91">
        <f t="shared" si="14"/>
        <v>0</v>
      </c>
      <c r="X29" s="200"/>
    </row>
    <row r="30" spans="1:24" ht="14.25" customHeight="1" thickTop="1" x14ac:dyDescent="0.25">
      <c r="A30" s="41" t="s">
        <v>265</v>
      </c>
      <c r="B30" s="148">
        <v>15</v>
      </c>
      <c r="C30" s="321"/>
      <c r="D30" s="321"/>
      <c r="E30" s="322"/>
      <c r="F30" s="148">
        <v>25</v>
      </c>
      <c r="G30" s="321"/>
      <c r="H30" s="321"/>
      <c r="I30" s="322"/>
      <c r="J30" s="148"/>
      <c r="K30" s="321"/>
      <c r="L30" s="321"/>
      <c r="M30" s="322"/>
      <c r="P30" s="199"/>
      <c r="R30" s="74">
        <f t="shared" ref="R30:W30" si="15">SUM(R27:R29)</f>
        <v>0</v>
      </c>
      <c r="S30" s="74">
        <f t="shared" si="15"/>
        <v>1014999.9999999999</v>
      </c>
      <c r="T30" s="74">
        <f t="shared" si="15"/>
        <v>3980000</v>
      </c>
      <c r="U30" s="74">
        <f t="shared" si="15"/>
        <v>6945000</v>
      </c>
      <c r="V30" s="74">
        <f t="shared" si="15"/>
        <v>11860000</v>
      </c>
      <c r="W30" s="119">
        <f t="shared" si="15"/>
        <v>20675000</v>
      </c>
      <c r="X30" s="200"/>
    </row>
    <row r="31" spans="1:24" x14ac:dyDescent="0.25">
      <c r="A31" s="41" t="s">
        <v>29</v>
      </c>
      <c r="B31" s="148">
        <v>20</v>
      </c>
      <c r="C31" s="321"/>
      <c r="D31" s="321"/>
      <c r="E31" s="322"/>
      <c r="F31" s="148">
        <v>20</v>
      </c>
      <c r="G31" s="321"/>
      <c r="H31" s="321"/>
      <c r="I31" s="322"/>
      <c r="J31" s="148"/>
      <c r="K31" s="321"/>
      <c r="L31" s="321"/>
      <c r="M31" s="322"/>
      <c r="P31" s="199"/>
      <c r="X31" s="200"/>
    </row>
    <row r="32" spans="1:24" ht="14.25" customHeight="1" x14ac:dyDescent="0.25">
      <c r="A32" s="41" t="s">
        <v>30</v>
      </c>
      <c r="B32" s="148">
        <v>8</v>
      </c>
      <c r="C32" s="321"/>
      <c r="D32" s="321"/>
      <c r="E32" s="322"/>
      <c r="F32" s="148">
        <v>8</v>
      </c>
      <c r="G32" s="321"/>
      <c r="H32" s="321"/>
      <c r="I32" s="322"/>
      <c r="J32" s="148"/>
      <c r="K32" s="321"/>
      <c r="L32" s="321"/>
      <c r="M32" s="322"/>
      <c r="P32" s="199"/>
      <c r="X32" s="200"/>
    </row>
    <row r="33" spans="1:24" ht="14.25" customHeight="1" x14ac:dyDescent="0.25">
      <c r="A33" s="41" t="s">
        <v>34</v>
      </c>
      <c r="B33" s="148">
        <v>4</v>
      </c>
      <c r="C33" s="321"/>
      <c r="D33" s="321"/>
      <c r="E33" s="322"/>
      <c r="F33" s="148">
        <v>4</v>
      </c>
      <c r="G33" s="321"/>
      <c r="H33" s="321"/>
      <c r="I33" s="322"/>
      <c r="J33" s="148"/>
      <c r="K33" s="321"/>
      <c r="L33" s="321"/>
      <c r="M33" s="322"/>
      <c r="P33" s="199"/>
      <c r="X33" s="200"/>
    </row>
    <row r="34" spans="1:24" x14ac:dyDescent="0.25">
      <c r="A34" s="41"/>
      <c r="B34" s="149"/>
      <c r="C34" s="321"/>
      <c r="D34" s="321"/>
      <c r="E34" s="322"/>
      <c r="F34" s="149"/>
      <c r="G34" s="321"/>
      <c r="H34" s="321"/>
      <c r="I34" s="322"/>
      <c r="J34" s="149"/>
      <c r="K34" s="321"/>
      <c r="L34" s="321"/>
      <c r="M34" s="322"/>
      <c r="P34" s="199"/>
      <c r="X34" s="200"/>
    </row>
    <row r="35" spans="1:24" ht="14.25" customHeight="1" x14ac:dyDescent="0.25">
      <c r="A35" s="41"/>
      <c r="B35" s="149"/>
      <c r="C35" s="321"/>
      <c r="D35" s="321"/>
      <c r="E35" s="322"/>
      <c r="F35" s="149"/>
      <c r="G35" s="321"/>
      <c r="H35" s="321"/>
      <c r="I35" s="322"/>
      <c r="J35" s="149"/>
      <c r="K35" s="321"/>
      <c r="L35" s="321"/>
      <c r="M35" s="322"/>
      <c r="P35" s="199"/>
      <c r="X35" s="200"/>
    </row>
    <row r="36" spans="1:24" ht="14.25" customHeight="1" x14ac:dyDescent="0.25">
      <c r="A36" s="41"/>
      <c r="B36" s="149"/>
      <c r="C36" s="321"/>
      <c r="D36" s="321"/>
      <c r="E36" s="322"/>
      <c r="F36" s="149"/>
      <c r="G36" s="321"/>
      <c r="H36" s="321"/>
      <c r="I36" s="322"/>
      <c r="J36" s="149"/>
      <c r="K36" s="321"/>
      <c r="L36" s="321"/>
      <c r="M36" s="322"/>
      <c r="P36" s="199"/>
      <c r="X36" s="200"/>
    </row>
    <row r="37" spans="1:24" ht="14.25" customHeight="1" x14ac:dyDescent="0.25">
      <c r="A37" s="42"/>
      <c r="B37" s="150"/>
      <c r="C37" s="318"/>
      <c r="D37" s="318"/>
      <c r="E37" s="319"/>
      <c r="F37" s="150"/>
      <c r="G37" s="318"/>
      <c r="H37" s="318"/>
      <c r="I37" s="319"/>
      <c r="J37" s="150"/>
      <c r="K37" s="318"/>
      <c r="L37" s="318"/>
      <c r="M37" s="319"/>
      <c r="P37" s="199"/>
      <c r="X37" s="200"/>
    </row>
    <row r="38" spans="1:24" ht="14.25" customHeight="1" x14ac:dyDescent="0.25">
      <c r="A38" s="58" t="s">
        <v>36</v>
      </c>
      <c r="B38" s="54">
        <f>SUM(B28:B37)</f>
        <v>127</v>
      </c>
      <c r="C38" s="55"/>
      <c r="D38" s="55"/>
      <c r="E38" s="55"/>
      <c r="F38" s="54">
        <f>SUM(F28:F37)</f>
        <v>157</v>
      </c>
      <c r="G38" s="55"/>
      <c r="H38" s="46"/>
      <c r="I38" s="46"/>
      <c r="J38" s="54">
        <f>SUM(J28:J37)</f>
        <v>0</v>
      </c>
      <c r="K38" s="55"/>
      <c r="L38" s="46"/>
      <c r="M38" s="46"/>
      <c r="P38" s="199"/>
      <c r="X38" s="200"/>
    </row>
    <row r="39" spans="1:24" ht="14.25" customHeight="1" x14ac:dyDescent="0.25">
      <c r="A39" s="41"/>
      <c r="B39" s="54"/>
      <c r="C39" s="55"/>
      <c r="D39" s="55"/>
      <c r="E39" s="55"/>
      <c r="F39" s="54"/>
      <c r="G39" s="55"/>
      <c r="H39" s="46"/>
      <c r="I39" s="46"/>
      <c r="J39" s="54"/>
      <c r="K39" s="55"/>
      <c r="L39" s="46"/>
      <c r="M39" s="46"/>
      <c r="P39" s="199"/>
      <c r="X39" s="200"/>
    </row>
    <row r="40" spans="1:24" ht="14.25" customHeight="1" x14ac:dyDescent="0.25">
      <c r="A40" s="40" t="s">
        <v>26</v>
      </c>
      <c r="B40" s="293">
        <v>2020</v>
      </c>
      <c r="C40" s="334"/>
      <c r="D40" s="334"/>
      <c r="E40" s="335"/>
      <c r="F40" s="293">
        <v>2020</v>
      </c>
      <c r="G40" s="334"/>
      <c r="H40" s="334"/>
      <c r="I40" s="335"/>
      <c r="J40" s="147"/>
      <c r="K40" s="334"/>
      <c r="L40" s="334"/>
      <c r="M40" s="335"/>
      <c r="P40" s="199"/>
      <c r="X40" s="200"/>
    </row>
    <row r="41" spans="1:24" ht="14.25" customHeight="1" x14ac:dyDescent="0.25">
      <c r="A41" s="56" t="s">
        <v>52</v>
      </c>
      <c r="B41" s="151">
        <v>0.04</v>
      </c>
      <c r="C41" s="334" t="s">
        <v>243</v>
      </c>
      <c r="D41" s="334"/>
      <c r="E41" s="335"/>
      <c r="F41" s="151">
        <v>0.04</v>
      </c>
      <c r="G41" s="334" t="s">
        <v>243</v>
      </c>
      <c r="H41" s="334"/>
      <c r="I41" s="335"/>
      <c r="J41" s="151"/>
      <c r="K41" s="334"/>
      <c r="L41" s="334"/>
      <c r="M41" s="335"/>
      <c r="P41" s="199"/>
      <c r="X41" s="200"/>
    </row>
    <row r="42" spans="1:24" ht="14.25" customHeight="1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P42" s="199"/>
      <c r="X42" s="200"/>
    </row>
    <row r="43" spans="1:24" ht="14.25" customHeight="1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P43" s="199"/>
      <c r="X43" s="200"/>
    </row>
    <row r="44" spans="1:24" x14ac:dyDescent="0.2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P44" s="199"/>
      <c r="X44" s="200"/>
    </row>
    <row r="45" spans="1:24" ht="14.25" customHeight="1" x14ac:dyDescent="0.3">
      <c r="A45" s="253" t="s">
        <v>197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P45" s="199"/>
      <c r="X45" s="200"/>
    </row>
    <row r="46" spans="1:24" ht="14.25" customHeight="1" x14ac:dyDescent="0.25">
      <c r="B46" s="306" t="s">
        <v>145</v>
      </c>
      <c r="C46" s="307"/>
      <c r="D46" s="307"/>
      <c r="E46" s="307"/>
      <c r="F46" s="307"/>
      <c r="G46" s="307"/>
      <c r="H46" s="307"/>
      <c r="I46" s="308"/>
      <c r="J46" s="281"/>
      <c r="K46" s="309" t="s">
        <v>146</v>
      </c>
      <c r="L46" s="310"/>
      <c r="M46" s="310"/>
      <c r="N46" s="311"/>
      <c r="P46" s="199"/>
      <c r="X46" s="200"/>
    </row>
    <row r="47" spans="1:24" ht="14.25" customHeight="1" x14ac:dyDescent="0.25">
      <c r="A47" s="31"/>
      <c r="B47" s="312" t="s">
        <v>193</v>
      </c>
      <c r="C47" s="313"/>
      <c r="D47" s="313"/>
      <c r="E47" s="314"/>
      <c r="F47" s="315" t="s">
        <v>194</v>
      </c>
      <c r="G47" s="313"/>
      <c r="H47" s="313"/>
      <c r="I47" s="316"/>
      <c r="J47" s="281"/>
      <c r="K47" s="97" t="s">
        <v>135</v>
      </c>
      <c r="L47" s="98" t="s">
        <v>136</v>
      </c>
      <c r="M47" s="98" t="s">
        <v>137</v>
      </c>
      <c r="N47" s="99" t="s">
        <v>225</v>
      </c>
      <c r="P47" s="199"/>
      <c r="X47" s="200"/>
    </row>
    <row r="48" spans="1:24" ht="14.25" customHeight="1" x14ac:dyDescent="0.25">
      <c r="A48" s="51"/>
      <c r="B48" s="93">
        <f>StartDate</f>
        <v>43831</v>
      </c>
      <c r="C48" s="52">
        <f>EDATE(B48,3)</f>
        <v>43922</v>
      </c>
      <c r="D48" s="52">
        <f t="shared" ref="D48" si="16">EDATE(C48,3)</f>
        <v>44013</v>
      </c>
      <c r="E48" s="52">
        <f t="shared" ref="E48" si="17">EDATE(D48,3)</f>
        <v>44105</v>
      </c>
      <c r="F48" s="52">
        <f t="shared" ref="F48" si="18">EDATE(E48,3)</f>
        <v>44197</v>
      </c>
      <c r="G48" s="52">
        <f t="shared" ref="G48" si="19">EDATE(F48,3)</f>
        <v>44287</v>
      </c>
      <c r="H48" s="52">
        <f t="shared" ref="H48" si="20">EDATE(G48,3)</f>
        <v>44378</v>
      </c>
      <c r="I48" s="89">
        <f t="shared" ref="I48" si="21">EDATE(H48,3)</f>
        <v>44470</v>
      </c>
      <c r="J48" s="281"/>
      <c r="K48" s="93">
        <f>EDATE(I48,3)</f>
        <v>44562</v>
      </c>
      <c r="L48" s="52">
        <f t="shared" ref="L48" si="22">EDATE(K48,12)</f>
        <v>44927</v>
      </c>
      <c r="M48" s="52">
        <f t="shared" ref="M48:N48" si="23">EDATE(L48,12)</f>
        <v>45292</v>
      </c>
      <c r="N48" s="96">
        <f t="shared" si="23"/>
        <v>45658</v>
      </c>
      <c r="P48" s="199"/>
      <c r="X48" s="200"/>
    </row>
    <row r="49" spans="1:24" ht="14.25" customHeight="1" x14ac:dyDescent="0.25">
      <c r="A49" s="36" t="str">
        <f>B27</f>
        <v>Wonderfoal</v>
      </c>
      <c r="B49" s="129">
        <f>'Bottom-Up'!B15*COGS!$B38*((1+$B$41)^(YEAR(B48)-$B$40))</f>
        <v>0</v>
      </c>
      <c r="C49" s="43">
        <f>'Bottom-Up'!C15*COGS!$B38*((1+$B$41)^(YEAR(C48)-$B$40))</f>
        <v>0</v>
      </c>
      <c r="D49" s="43">
        <f>'Bottom-Up'!D15*COGS!$B38*((1+$B$41)^(YEAR(D48)-$B$40))</f>
        <v>0</v>
      </c>
      <c r="E49" s="43">
        <f>'Bottom-Up'!E15*COGS!$B38*((1+$B$41)^(YEAR(E48)-$B$40))</f>
        <v>0</v>
      </c>
      <c r="F49" s="43">
        <f>'Bottom-Up'!F15*COGS!$B38*((1+$B$41)^(YEAR(F48)-$B$40))</f>
        <v>231140</v>
      </c>
      <c r="G49" s="43">
        <f>'Bottom-Up'!G15*COGS!$B38*((1+$B$41)^(YEAR(G48)-$B$40))</f>
        <v>231140</v>
      </c>
      <c r="H49" s="43">
        <f>'Bottom-Up'!H15*COGS!$B38*((1+$B$41)^(YEAR(H48)-$B$40))</f>
        <v>231140</v>
      </c>
      <c r="I49" s="130">
        <f>'Bottom-Up'!I15*COGS!$B38*((1+$B$41)^(YEAR(I48)-$B$40))</f>
        <v>231140</v>
      </c>
      <c r="J49" s="281"/>
      <c r="K49" s="129">
        <f>'Bottom-Up'!K15*COGS!$B38*((1+$B$41)^(YEAR(K48)-$B$40))</f>
        <v>1923084.8000000003</v>
      </c>
      <c r="L49" s="43">
        <f>'Bottom-Up'!L15*COGS!$B38*((1+$B$41)^(YEAR(L48)-$B$40))</f>
        <v>3000012.2880000002</v>
      </c>
      <c r="M49" s="43">
        <f>'Bottom-Up'!M15*COGS!$B38*((1+$B$41)^(YEAR(M48)-$B$40))</f>
        <v>4160017.0393600008</v>
      </c>
      <c r="N49" s="130">
        <f>'Bottom-Up'!N15*COGS!$B38*((1+$B$41)^(YEAR(N48)-$B$40))</f>
        <v>5408022.1511680018</v>
      </c>
      <c r="P49" s="199"/>
      <c r="X49" s="200"/>
    </row>
    <row r="50" spans="1:24" ht="14.25" customHeight="1" thickBot="1" x14ac:dyDescent="0.3">
      <c r="A50" s="36" t="str">
        <f>F27</f>
        <v>NakotaStar</v>
      </c>
      <c r="B50" s="129">
        <f>'Bottom-Up'!B16*COGS!$F38*((1+$F$41)^(YEAR(B48)-$F$40))</f>
        <v>0</v>
      </c>
      <c r="C50" s="43">
        <f>'Bottom-Up'!C16*COGS!$F38*((1+$F$41)^(YEAR(C48)-$F$40))</f>
        <v>0</v>
      </c>
      <c r="D50" s="43">
        <f>'Bottom-Up'!D16*COGS!$F38*((1+$F$41)^(YEAR(D48)-$F$40))</f>
        <v>0</v>
      </c>
      <c r="E50" s="43">
        <f>'Bottom-Up'!E16*COGS!$F38*((1+$F$41)^(YEAR(E48)-$F$40))</f>
        <v>0</v>
      </c>
      <c r="F50" s="43">
        <f>'Bottom-Up'!F16*COGS!$F38*((1+$F$41)^(YEAR(F48)-$F$40))</f>
        <v>0</v>
      </c>
      <c r="G50" s="43">
        <f>'Bottom-Up'!G16*COGS!$F38*((1+$F$41)^(YEAR(G48)-$F$40))</f>
        <v>0</v>
      </c>
      <c r="H50" s="43">
        <f>'Bottom-Up'!H16*COGS!$F38*((1+$F$41)^(YEAR(H48)-$F$40))</f>
        <v>0</v>
      </c>
      <c r="I50" s="130">
        <f>'Bottom-Up'!I16*COGS!$F38*((1+$F$41)^(YEAR(I48)-$F$40))</f>
        <v>0</v>
      </c>
      <c r="J50" s="281"/>
      <c r="K50" s="129">
        <f>'Bottom-Up'!K16*COGS!$F38*((1+$F$41)^(YEAR(K48)-$F$40))</f>
        <v>1698112.0000000002</v>
      </c>
      <c r="L50" s="43">
        <f>'Bottom-Up'!L16*COGS!$F38*((1+$F$41)^(YEAR(L48)-$F$40))</f>
        <v>3532072.9600000004</v>
      </c>
      <c r="M50" s="43">
        <f>'Bottom-Up'!M16*COGS!$F38*((1+$F$41)^(YEAR(M48)-$F$40))</f>
        <v>7346711.7568000015</v>
      </c>
      <c r="N50" s="130">
        <f>'Bottom-Up'!N16*COGS!$F38*((1+$F$41)^(YEAR(N48)-$F$40))</f>
        <v>15281160.454144005</v>
      </c>
      <c r="P50" s="136"/>
      <c r="Q50" s="137"/>
      <c r="R50" s="137"/>
      <c r="S50" s="137"/>
      <c r="T50" s="137"/>
      <c r="U50" s="137"/>
      <c r="V50" s="137"/>
      <c r="W50" s="137"/>
      <c r="X50" s="138"/>
    </row>
    <row r="51" spans="1:24" ht="24.75" thickTop="1" thickBot="1" x14ac:dyDescent="0.4">
      <c r="A51" s="37" t="str">
        <f>J27</f>
        <v>Product 3</v>
      </c>
      <c r="B51" s="144">
        <f>'Bottom-Up'!B17*COGS!$J38*((1+$J$41)^(YEAR(B48)-$J$40))</f>
        <v>0</v>
      </c>
      <c r="C51" s="145">
        <f>'Bottom-Up'!C17*COGS!$J38*((1+$J$41)^(YEAR(C48)-$J$40))</f>
        <v>0</v>
      </c>
      <c r="D51" s="145">
        <f>'Bottom-Up'!D17*COGS!$J38*((1+$J$41)^(YEAR(D48)-$J$40))</f>
        <v>0</v>
      </c>
      <c r="E51" s="145">
        <f>'Bottom-Up'!E17*COGS!$J38*((1+$J$41)^(YEAR(E48)-$J$40))</f>
        <v>0</v>
      </c>
      <c r="F51" s="145">
        <f>'Bottom-Up'!F17*COGS!$J38*((1+$J$41)^(YEAR(F48)-$J$40))</f>
        <v>0</v>
      </c>
      <c r="G51" s="145">
        <f>'Bottom-Up'!G17*COGS!$J38*((1+$J$41)^(YEAR(G48)-$J$40))</f>
        <v>0</v>
      </c>
      <c r="H51" s="145">
        <f>'Bottom-Up'!H17*COGS!$J38*((1+$J$41)^(YEAR(H48)-$J$40))</f>
        <v>0</v>
      </c>
      <c r="I51" s="146">
        <f>'Bottom-Up'!I17*COGS!$J38*((1+$J$41)^(YEAR(I48)-$J$40))</f>
        <v>0</v>
      </c>
      <c r="J51" s="281"/>
      <c r="K51" s="144">
        <f>'Bottom-Up'!K17*COGS!$J38*((1+$J$41)^(YEAR(K48)-$J$40))</f>
        <v>0</v>
      </c>
      <c r="L51" s="145">
        <f>'Bottom-Up'!L17*COGS!$J38*((1+$J$41)^(YEAR(L48)-$J$40))</f>
        <v>0</v>
      </c>
      <c r="M51" s="145">
        <f>'Bottom-Up'!M17*COGS!$J38*((1+$J$41)^(YEAR(M48)-$J$40))</f>
        <v>0</v>
      </c>
      <c r="N51" s="146">
        <f>'Bottom-Up'!N17*COGS!$J38*((1+$J$41)^(YEAR(N48)-$J$40))</f>
        <v>0</v>
      </c>
      <c r="P51" s="262"/>
      <c r="Q51" s="260" t="str">
        <f>CompanyName &amp;" COGS Forecast - Bottom-up"</f>
        <v>WorkHorse Inc. COGS Forecast - Bottom-up</v>
      </c>
      <c r="R51" s="261"/>
      <c r="S51" s="261"/>
      <c r="T51" s="261"/>
      <c r="U51" s="261"/>
      <c r="V51" s="261"/>
      <c r="W51" s="261"/>
      <c r="X51" s="263"/>
    </row>
    <row r="52" spans="1:24" ht="15.75" thickTop="1" x14ac:dyDescent="0.25">
      <c r="A52" s="38" t="s">
        <v>15</v>
      </c>
      <c r="B52" s="45">
        <f>SUM(B49:B51)</f>
        <v>0</v>
      </c>
      <c r="C52" s="45">
        <f t="shared" ref="C52:N52" si="24">SUM(C49:C51)</f>
        <v>0</v>
      </c>
      <c r="D52" s="45">
        <f t="shared" si="24"/>
        <v>0</v>
      </c>
      <c r="E52" s="45">
        <f t="shared" si="24"/>
        <v>0</v>
      </c>
      <c r="F52" s="45">
        <f t="shared" si="24"/>
        <v>231140</v>
      </c>
      <c r="G52" s="45">
        <f t="shared" si="24"/>
        <v>231140</v>
      </c>
      <c r="H52" s="45">
        <f t="shared" si="24"/>
        <v>231140</v>
      </c>
      <c r="I52" s="45">
        <f t="shared" si="24"/>
        <v>231140</v>
      </c>
      <c r="J52" s="281"/>
      <c r="K52" s="45">
        <f t="shared" si="24"/>
        <v>3621196.8000000007</v>
      </c>
      <c r="L52" s="45">
        <f>SUM(L49:L51)</f>
        <v>6532085.2480000006</v>
      </c>
      <c r="M52" s="45">
        <f t="shared" si="24"/>
        <v>11506728.796160001</v>
      </c>
      <c r="N52" s="45">
        <f t="shared" si="24"/>
        <v>20689182.605312005</v>
      </c>
      <c r="P52" s="199"/>
      <c r="X52" s="200"/>
    </row>
    <row r="53" spans="1:24" ht="17.25" x14ac:dyDescent="0.3">
      <c r="P53" s="199"/>
      <c r="Q53" s="253" t="s">
        <v>198</v>
      </c>
      <c r="X53" s="200"/>
    </row>
    <row r="54" spans="1:24" x14ac:dyDescent="0.25">
      <c r="P54" s="199"/>
      <c r="X54" s="200"/>
    </row>
    <row r="55" spans="1:24" ht="15.75" x14ac:dyDescent="0.25">
      <c r="P55" s="256"/>
      <c r="Q55" s="39"/>
      <c r="R55" s="39"/>
      <c r="S55" s="39"/>
      <c r="T55" s="39"/>
      <c r="U55" s="39"/>
      <c r="V55" s="39"/>
      <c r="W55" s="39"/>
      <c r="X55" s="257"/>
    </row>
    <row r="56" spans="1:24" x14ac:dyDescent="0.25">
      <c r="P56" s="199"/>
      <c r="X56" s="200"/>
    </row>
    <row r="57" spans="1:24" x14ac:dyDescent="0.25">
      <c r="P57" s="199"/>
      <c r="X57" s="200"/>
    </row>
    <row r="58" spans="1:24" x14ac:dyDescent="0.25">
      <c r="P58" s="199"/>
      <c r="X58" s="200"/>
    </row>
    <row r="59" spans="1:24" x14ac:dyDescent="0.25">
      <c r="P59" s="199"/>
      <c r="X59" s="200"/>
    </row>
    <row r="60" spans="1:24" x14ac:dyDescent="0.25">
      <c r="P60" s="199"/>
      <c r="X60" s="200"/>
    </row>
    <row r="61" spans="1:24" x14ac:dyDescent="0.25">
      <c r="P61" s="199"/>
      <c r="X61" s="200"/>
    </row>
    <row r="62" spans="1:24" x14ac:dyDescent="0.25">
      <c r="P62" s="199"/>
      <c r="X62" s="200"/>
    </row>
    <row r="63" spans="1:24" x14ac:dyDescent="0.25">
      <c r="P63" s="199"/>
      <c r="X63" s="200"/>
    </row>
    <row r="64" spans="1:24" x14ac:dyDescent="0.25">
      <c r="P64" s="199"/>
      <c r="X64" s="200"/>
    </row>
    <row r="65" spans="16:24" s="53" customFormat="1" x14ac:dyDescent="0.25">
      <c r="P65" s="199"/>
      <c r="Q65"/>
      <c r="R65"/>
      <c r="S65"/>
      <c r="T65"/>
      <c r="U65"/>
      <c r="V65"/>
      <c r="W65"/>
      <c r="X65" s="200"/>
    </row>
    <row r="66" spans="16:24" x14ac:dyDescent="0.25">
      <c r="P66" s="199"/>
      <c r="X66" s="200"/>
    </row>
    <row r="67" spans="16:24" x14ac:dyDescent="0.25">
      <c r="P67" s="199"/>
      <c r="X67" s="200"/>
    </row>
    <row r="68" spans="16:24" x14ac:dyDescent="0.25">
      <c r="P68" s="199"/>
      <c r="X68" s="200"/>
    </row>
    <row r="69" spans="16:24" s="26" customFormat="1" ht="15.75" thickBot="1" x14ac:dyDescent="0.3">
      <c r="P69" s="136"/>
      <c r="Q69" s="137"/>
      <c r="R69" s="137"/>
      <c r="S69" s="137"/>
      <c r="T69" s="137"/>
      <c r="U69" s="137"/>
      <c r="V69" s="137"/>
      <c r="W69" s="137"/>
      <c r="X69" s="138"/>
    </row>
    <row r="70" spans="16:24" ht="15.75" thickTop="1" x14ac:dyDescent="0.25">
      <c r="P70" s="258"/>
      <c r="Q70" s="259"/>
      <c r="R70" s="259"/>
      <c r="S70" s="259"/>
      <c r="T70" s="259"/>
      <c r="U70" s="259"/>
      <c r="V70" s="259"/>
      <c r="W70" s="259"/>
      <c r="X70" s="255"/>
    </row>
    <row r="71" spans="16:24" ht="17.25" x14ac:dyDescent="0.3">
      <c r="P71" s="199"/>
      <c r="Q71" s="253" t="s">
        <v>199</v>
      </c>
      <c r="X71" s="200"/>
    </row>
    <row r="72" spans="16:24" x14ac:dyDescent="0.25">
      <c r="P72" s="199"/>
      <c r="X72" s="200"/>
    </row>
    <row r="73" spans="16:24" x14ac:dyDescent="0.25">
      <c r="P73" s="199"/>
      <c r="R73" s="309" t="s">
        <v>200</v>
      </c>
      <c r="S73" s="310"/>
      <c r="T73" s="310"/>
      <c r="U73" s="310"/>
      <c r="V73" s="310"/>
      <c r="W73" s="311"/>
      <c r="X73" s="200"/>
    </row>
    <row r="74" spans="16:24" x14ac:dyDescent="0.25">
      <c r="P74" s="199"/>
      <c r="R74" s="97" t="s">
        <v>193</v>
      </c>
      <c r="S74" s="98" t="s">
        <v>194</v>
      </c>
      <c r="T74" s="98" t="s">
        <v>135</v>
      </c>
      <c r="U74" s="98" t="s">
        <v>136</v>
      </c>
      <c r="V74" s="98" t="s">
        <v>137</v>
      </c>
      <c r="W74" s="99" t="s">
        <v>225</v>
      </c>
      <c r="X74" s="200"/>
    </row>
    <row r="75" spans="16:24" x14ac:dyDescent="0.25">
      <c r="P75" s="199"/>
      <c r="R75" s="93">
        <f>B48</f>
        <v>43831</v>
      </c>
      <c r="S75" s="52">
        <f>F48</f>
        <v>44197</v>
      </c>
      <c r="T75" s="52">
        <f>K48</f>
        <v>44562</v>
      </c>
      <c r="U75" s="52">
        <f t="shared" ref="U75:W75" si="25">L48</f>
        <v>44927</v>
      </c>
      <c r="V75" s="52">
        <f t="shared" si="25"/>
        <v>45292</v>
      </c>
      <c r="W75" s="96">
        <f t="shared" si="25"/>
        <v>45658</v>
      </c>
      <c r="X75" s="200"/>
    </row>
    <row r="76" spans="16:24" x14ac:dyDescent="0.25">
      <c r="P76" s="199"/>
      <c r="Q76" s="36" t="str">
        <f t="shared" ref="Q76:Q78" si="26">A49</f>
        <v>Wonderfoal</v>
      </c>
      <c r="R76" s="94">
        <f>SUM(B49:E49)</f>
        <v>0</v>
      </c>
      <c r="S76" s="87">
        <f>SUM(F49:I49)</f>
        <v>924560</v>
      </c>
      <c r="T76" s="87">
        <f t="shared" ref="T76:W76" si="27">K49</f>
        <v>1923084.8000000003</v>
      </c>
      <c r="U76" s="87">
        <f>L49</f>
        <v>3000012.2880000002</v>
      </c>
      <c r="V76" s="87">
        <f t="shared" si="27"/>
        <v>4160017.0393600008</v>
      </c>
      <c r="W76" s="90">
        <f t="shared" si="27"/>
        <v>5408022.1511680018</v>
      </c>
      <c r="X76" s="200"/>
    </row>
    <row r="77" spans="16:24" x14ac:dyDescent="0.25">
      <c r="P77" s="199"/>
      <c r="Q77" s="36" t="str">
        <f t="shared" si="26"/>
        <v>NakotaStar</v>
      </c>
      <c r="R77" s="94">
        <f t="shared" ref="R77:R78" si="28">SUM(B50:E50)</f>
        <v>0</v>
      </c>
      <c r="S77" s="87">
        <f t="shared" ref="S77:S78" si="29">SUM(F50:I50)</f>
        <v>0</v>
      </c>
      <c r="T77" s="87">
        <f t="shared" ref="T77:W77" si="30">K50</f>
        <v>1698112.0000000002</v>
      </c>
      <c r="U77" s="87">
        <f>L50</f>
        <v>3532072.9600000004</v>
      </c>
      <c r="V77" s="87">
        <f t="shared" si="30"/>
        <v>7346711.7568000015</v>
      </c>
      <c r="W77" s="90">
        <f t="shared" si="30"/>
        <v>15281160.454144005</v>
      </c>
      <c r="X77" s="200"/>
    </row>
    <row r="78" spans="16:24" ht="15.75" thickBot="1" x14ac:dyDescent="0.3">
      <c r="P78" s="199"/>
      <c r="Q78" s="36" t="str">
        <f t="shared" si="26"/>
        <v>Product 3</v>
      </c>
      <c r="R78" s="95">
        <f t="shared" si="28"/>
        <v>0</v>
      </c>
      <c r="S78" s="88">
        <f t="shared" si="29"/>
        <v>0</v>
      </c>
      <c r="T78" s="88">
        <f t="shared" ref="T78:W78" si="31">K51</f>
        <v>0</v>
      </c>
      <c r="U78" s="88">
        <f t="shared" si="31"/>
        <v>0</v>
      </c>
      <c r="V78" s="88">
        <f t="shared" si="31"/>
        <v>0</v>
      </c>
      <c r="W78" s="91">
        <f t="shared" si="31"/>
        <v>0</v>
      </c>
      <c r="X78" s="200"/>
    </row>
    <row r="79" spans="16:24" ht="15.75" thickTop="1" x14ac:dyDescent="0.25">
      <c r="P79" s="199"/>
      <c r="R79" s="74">
        <f t="shared" ref="R79:W79" si="32">SUM(R76:R78)</f>
        <v>0</v>
      </c>
      <c r="S79" s="74">
        <f t="shared" si="32"/>
        <v>924560</v>
      </c>
      <c r="T79" s="74">
        <f t="shared" si="32"/>
        <v>3621196.8000000007</v>
      </c>
      <c r="U79" s="74">
        <f t="shared" si="32"/>
        <v>6532085.2480000006</v>
      </c>
      <c r="V79" s="74">
        <f t="shared" si="32"/>
        <v>11506728.796160001</v>
      </c>
      <c r="W79" s="119">
        <f t="shared" si="32"/>
        <v>20689182.605312005</v>
      </c>
      <c r="X79" s="200"/>
    </row>
    <row r="80" spans="16:24" x14ac:dyDescent="0.25">
      <c r="P80" s="199"/>
      <c r="X80" s="200"/>
    </row>
    <row r="81" spans="16:30" x14ac:dyDescent="0.25">
      <c r="P81" s="199"/>
      <c r="X81" s="200"/>
    </row>
    <row r="82" spans="16:30" x14ac:dyDescent="0.25">
      <c r="P82" s="199"/>
      <c r="X82" s="200"/>
      <c r="Z82" s="268"/>
      <c r="AA82" s="268"/>
      <c r="AB82" s="268"/>
      <c r="AC82" s="268"/>
      <c r="AD82" s="268"/>
    </row>
    <row r="83" spans="16:30" x14ac:dyDescent="0.25">
      <c r="P83" s="199"/>
      <c r="X83" s="200"/>
    </row>
    <row r="84" spans="16:30" x14ac:dyDescent="0.25">
      <c r="P84" s="199"/>
      <c r="X84" s="200"/>
      <c r="Z84" s="275"/>
      <c r="AA84" s="275"/>
      <c r="AB84" s="275"/>
      <c r="AC84" s="275"/>
      <c r="AD84" s="275"/>
    </row>
    <row r="85" spans="16:30" x14ac:dyDescent="0.25">
      <c r="P85" s="199"/>
      <c r="X85" s="200"/>
      <c r="AA85" s="275"/>
      <c r="AB85" s="275"/>
      <c r="AC85" s="275"/>
      <c r="AD85" s="275"/>
    </row>
    <row r="86" spans="16:30" x14ac:dyDescent="0.25">
      <c r="P86" s="199"/>
      <c r="X86" s="200"/>
    </row>
    <row r="87" spans="16:30" x14ac:dyDescent="0.25">
      <c r="P87" s="199"/>
      <c r="X87" s="200"/>
    </row>
    <row r="88" spans="16:30" x14ac:dyDescent="0.25">
      <c r="P88" s="199"/>
      <c r="X88" s="200"/>
    </row>
    <row r="89" spans="16:30" x14ac:dyDescent="0.25">
      <c r="P89" s="199"/>
      <c r="X89" s="200"/>
    </row>
    <row r="90" spans="16:30" x14ac:dyDescent="0.25">
      <c r="P90" s="199"/>
      <c r="X90" s="200"/>
    </row>
    <row r="91" spans="16:30" x14ac:dyDescent="0.25">
      <c r="P91" s="199"/>
      <c r="X91" s="200"/>
    </row>
    <row r="92" spans="16:30" x14ac:dyDescent="0.25">
      <c r="P92" s="199"/>
      <c r="X92" s="200"/>
    </row>
    <row r="93" spans="16:30" x14ac:dyDescent="0.25">
      <c r="P93" s="199"/>
      <c r="X93" s="200"/>
    </row>
    <row r="94" spans="16:30" x14ac:dyDescent="0.25">
      <c r="P94" s="199"/>
      <c r="X94" s="200"/>
    </row>
    <row r="95" spans="16:30" x14ac:dyDescent="0.25">
      <c r="P95" s="199"/>
      <c r="X95" s="200"/>
    </row>
    <row r="96" spans="16:30" x14ac:dyDescent="0.25">
      <c r="P96" s="199"/>
      <c r="X96" s="200"/>
    </row>
    <row r="97" spans="16:24" x14ac:dyDescent="0.25">
      <c r="P97" s="199"/>
      <c r="X97" s="200"/>
    </row>
    <row r="98" spans="16:24" x14ac:dyDescent="0.25">
      <c r="P98" s="199"/>
      <c r="X98" s="200"/>
    </row>
    <row r="99" spans="16:24" ht="15.75" thickBot="1" x14ac:dyDescent="0.3">
      <c r="P99" s="136"/>
      <c r="Q99" s="137"/>
      <c r="R99" s="137"/>
      <c r="S99" s="137"/>
      <c r="T99" s="137"/>
      <c r="U99" s="137"/>
      <c r="V99" s="137"/>
      <c r="W99" s="137"/>
      <c r="X99" s="138"/>
    </row>
    <row r="100" spans="16:24" ht="15.75" thickTop="1" x14ac:dyDescent="0.25"/>
  </sheetData>
  <mergeCells count="55">
    <mergeCell ref="C11:E11"/>
    <mergeCell ref="G11:I11"/>
    <mergeCell ref="C12:E12"/>
    <mergeCell ref="G12:I12"/>
    <mergeCell ref="R24:W24"/>
    <mergeCell ref="K11:M11"/>
    <mergeCell ref="K12:M12"/>
    <mergeCell ref="R73:W73"/>
    <mergeCell ref="B47:E47"/>
    <mergeCell ref="F47:I47"/>
    <mergeCell ref="B15:I15"/>
    <mergeCell ref="K15:N15"/>
    <mergeCell ref="B46:I46"/>
    <mergeCell ref="K46:N46"/>
    <mergeCell ref="C27:E27"/>
    <mergeCell ref="G27:I27"/>
    <mergeCell ref="C28:E28"/>
    <mergeCell ref="C29:E29"/>
    <mergeCell ref="C30:E30"/>
    <mergeCell ref="C31:E31"/>
    <mergeCell ref="C32:E32"/>
    <mergeCell ref="B16:E16"/>
    <mergeCell ref="F16:I16"/>
    <mergeCell ref="G28:I28"/>
    <mergeCell ref="G29:I29"/>
    <mergeCell ref="G30:I30"/>
    <mergeCell ref="K30:M30"/>
    <mergeCell ref="K31:M31"/>
    <mergeCell ref="G31:I31"/>
    <mergeCell ref="C35:E35"/>
    <mergeCell ref="K33:M33"/>
    <mergeCell ref="K34:M34"/>
    <mergeCell ref="K35:M35"/>
    <mergeCell ref="K36:M36"/>
    <mergeCell ref="C41:E41"/>
    <mergeCell ref="G40:I40"/>
    <mergeCell ref="G41:I41"/>
    <mergeCell ref="K40:M40"/>
    <mergeCell ref="K41:M41"/>
    <mergeCell ref="K27:M27"/>
    <mergeCell ref="K28:M28"/>
    <mergeCell ref="K29:M29"/>
    <mergeCell ref="K37:M37"/>
    <mergeCell ref="C40:E40"/>
    <mergeCell ref="K32:M32"/>
    <mergeCell ref="C36:E36"/>
    <mergeCell ref="C37:E37"/>
    <mergeCell ref="G33:I33"/>
    <mergeCell ref="G34:I34"/>
    <mergeCell ref="G35:I35"/>
    <mergeCell ref="G36:I36"/>
    <mergeCell ref="G37:I37"/>
    <mergeCell ref="G32:I32"/>
    <mergeCell ref="C33:E33"/>
    <mergeCell ref="C34:E34"/>
  </mergeCells>
  <pageMargins left="0.25" right="0.25" top="0.75" bottom="0.75" header="0.3" footer="0.3"/>
  <pageSetup paperSize="5" scale="58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  <pageSetUpPr fitToPage="1"/>
  </sheetPr>
  <dimension ref="A1:X50"/>
  <sheetViews>
    <sheetView topLeftCell="A27" zoomScale="115" zoomScaleNormal="115" workbookViewId="0">
      <selection activeCell="Y17" sqref="Y17"/>
    </sheetView>
  </sheetViews>
  <sheetFormatPr defaultColWidth="8.85546875" defaultRowHeight="15" x14ac:dyDescent="0.25"/>
  <cols>
    <col min="1" max="1" width="21.42578125" customWidth="1"/>
    <col min="2" max="2" width="14.42578125" customWidth="1"/>
    <col min="3" max="9" width="12.42578125" customWidth="1"/>
    <col min="10" max="10" width="10.42578125" customWidth="1"/>
    <col min="11" max="14" width="12.42578125" customWidth="1"/>
    <col min="15" max="15" width="10" customWidth="1"/>
    <col min="16" max="16" width="3.85546875" customWidth="1"/>
    <col min="17" max="23" width="14.42578125" customWidth="1"/>
    <col min="24" max="24" width="3.85546875" customWidth="1"/>
  </cols>
  <sheetData>
    <row r="1" spans="1:24" ht="24.75" thickTop="1" thickBot="1" x14ac:dyDescent="0.4">
      <c r="A1" s="33" t="s">
        <v>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33" t="str">
        <f>CompanyName &amp;" Projected Payroll Charts"</f>
        <v>WorkHorse Inc. Projected Payroll Charts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"Payroll ("&amp;SubHeader&amp;")"</f>
        <v>Payroll (USD)</v>
      </c>
      <c r="B2" s="86"/>
      <c r="C2" s="28"/>
      <c r="D2" s="28"/>
      <c r="P2" s="199"/>
      <c r="X2" s="200"/>
    </row>
    <row r="3" spans="1:24" ht="17.25" x14ac:dyDescent="0.3">
      <c r="B3" s="86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 t="s">
        <v>198</v>
      </c>
      <c r="X3" s="200"/>
    </row>
    <row r="4" spans="1:24" ht="19.5" x14ac:dyDescent="0.3">
      <c r="A4" s="32" t="str">
        <f>"Assumptions - Annual Payroll Needs (costs in "&amp;SubHeader&amp;")"</f>
        <v>Assumptions - Annual Payroll Needs (costs in USD)</v>
      </c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X4" s="200"/>
    </row>
    <row r="5" spans="1:24" s="39" customFormat="1" ht="47.25" x14ac:dyDescent="0.25">
      <c r="B5" s="153" t="s">
        <v>245</v>
      </c>
      <c r="C5" s="336" t="s">
        <v>22</v>
      </c>
      <c r="D5" s="336"/>
      <c r="E5" s="337"/>
      <c r="F5" s="153" t="s">
        <v>246</v>
      </c>
      <c r="G5" s="336" t="s">
        <v>22</v>
      </c>
      <c r="H5" s="336"/>
      <c r="I5" s="337"/>
      <c r="J5" s="153" t="s">
        <v>247</v>
      </c>
      <c r="K5" s="336" t="s">
        <v>22</v>
      </c>
      <c r="L5" s="336"/>
      <c r="M5" s="337"/>
      <c r="P5" s="256"/>
      <c r="X5" s="257"/>
    </row>
    <row r="6" spans="1:24" x14ac:dyDescent="0.25">
      <c r="A6" s="40" t="s">
        <v>54</v>
      </c>
      <c r="B6" s="111">
        <v>25000</v>
      </c>
      <c r="C6" s="327"/>
      <c r="D6" s="327"/>
      <c r="E6" s="328"/>
      <c r="F6" s="111">
        <v>85000</v>
      </c>
      <c r="G6" s="327" t="s">
        <v>266</v>
      </c>
      <c r="H6" s="327"/>
      <c r="I6" s="328"/>
      <c r="J6" s="111">
        <v>80000</v>
      </c>
      <c r="K6" s="327"/>
      <c r="L6" s="327"/>
      <c r="M6" s="328"/>
      <c r="P6" s="199"/>
      <c r="X6" s="200"/>
    </row>
    <row r="7" spans="1:24" ht="14.45" customHeight="1" x14ac:dyDescent="0.25">
      <c r="A7" s="41" t="s">
        <v>55</v>
      </c>
      <c r="B7" s="105">
        <f>B6*0.15</f>
        <v>3750</v>
      </c>
      <c r="C7" s="321"/>
      <c r="D7" s="321"/>
      <c r="E7" s="322"/>
      <c r="F7" s="105">
        <f>F6*0.15</f>
        <v>12750</v>
      </c>
      <c r="G7" s="321"/>
      <c r="H7" s="321"/>
      <c r="I7" s="322"/>
      <c r="J7" s="105">
        <f>J6*0.15</f>
        <v>12000</v>
      </c>
      <c r="K7" s="321"/>
      <c r="L7" s="321"/>
      <c r="M7" s="322"/>
      <c r="P7" s="199"/>
      <c r="X7" s="200"/>
    </row>
    <row r="8" spans="1:24" ht="14.45" customHeight="1" x14ac:dyDescent="0.25">
      <c r="A8" s="41" t="s">
        <v>59</v>
      </c>
      <c r="B8" s="105">
        <f>B6*0.05</f>
        <v>1250</v>
      </c>
      <c r="C8" s="321"/>
      <c r="D8" s="321"/>
      <c r="E8" s="322"/>
      <c r="F8" s="105">
        <f>F6*0.05</f>
        <v>4250</v>
      </c>
      <c r="G8" s="321"/>
      <c r="H8" s="321"/>
      <c r="I8" s="322"/>
      <c r="J8" s="105">
        <f>J6*0.05</f>
        <v>4000</v>
      </c>
      <c r="K8" s="321"/>
      <c r="L8" s="321"/>
      <c r="M8" s="322"/>
      <c r="P8" s="199"/>
      <c r="X8" s="200"/>
    </row>
    <row r="9" spans="1:24" ht="14.45" customHeight="1" x14ac:dyDescent="0.25">
      <c r="A9" s="41" t="s">
        <v>56</v>
      </c>
      <c r="B9" s="105">
        <f>B6*0.02</f>
        <v>500</v>
      </c>
      <c r="C9" s="321"/>
      <c r="D9" s="321"/>
      <c r="E9" s="322"/>
      <c r="F9" s="105">
        <f>F6*0.02</f>
        <v>1700</v>
      </c>
      <c r="G9" s="321"/>
      <c r="H9" s="321"/>
      <c r="I9" s="322"/>
      <c r="J9" s="105">
        <f>J6*0.02</f>
        <v>1600</v>
      </c>
      <c r="K9" s="321"/>
      <c r="L9" s="321"/>
      <c r="M9" s="322"/>
      <c r="P9" s="199"/>
      <c r="X9" s="200"/>
    </row>
    <row r="10" spans="1:24" ht="14.45" customHeight="1" x14ac:dyDescent="0.25">
      <c r="A10" s="41" t="s">
        <v>57</v>
      </c>
      <c r="B10" s="105">
        <f>B6*0.07</f>
        <v>1750.0000000000002</v>
      </c>
      <c r="C10" s="321"/>
      <c r="D10" s="321"/>
      <c r="E10" s="322"/>
      <c r="F10" s="105">
        <f>F6*0.07</f>
        <v>5950.0000000000009</v>
      </c>
      <c r="G10" s="321"/>
      <c r="H10" s="321"/>
      <c r="I10" s="322"/>
      <c r="J10" s="105">
        <f>J6*0.07</f>
        <v>5600.0000000000009</v>
      </c>
      <c r="K10" s="321"/>
      <c r="L10" s="321"/>
      <c r="M10" s="322"/>
      <c r="P10" s="199"/>
      <c r="X10" s="200"/>
    </row>
    <row r="11" spans="1:24" ht="14.45" customHeight="1" x14ac:dyDescent="0.25">
      <c r="A11" s="42" t="s">
        <v>58</v>
      </c>
      <c r="B11" s="154">
        <f>B6*0.1</f>
        <v>2500</v>
      </c>
      <c r="C11" s="318" t="s">
        <v>267</v>
      </c>
      <c r="D11" s="318"/>
      <c r="E11" s="319"/>
      <c r="F11" s="154">
        <f>F6*0.1</f>
        <v>8500</v>
      </c>
      <c r="G11" s="318"/>
      <c r="H11" s="318"/>
      <c r="I11" s="319"/>
      <c r="J11" s="154">
        <f>J6*0.1</f>
        <v>8000</v>
      </c>
      <c r="K11" s="318"/>
      <c r="L11" s="318"/>
      <c r="M11" s="319"/>
      <c r="P11" s="199"/>
      <c r="X11" s="200"/>
    </row>
    <row r="12" spans="1:24" x14ac:dyDescent="0.25">
      <c r="A12" s="59" t="s">
        <v>60</v>
      </c>
      <c r="B12" s="62">
        <f>SUM(B6:B11)</f>
        <v>34750</v>
      </c>
      <c r="C12" s="55"/>
      <c r="D12" s="55"/>
      <c r="E12" s="55"/>
      <c r="F12" s="63">
        <f>SUM(F6:F11)</f>
        <v>118150</v>
      </c>
      <c r="G12" s="55"/>
      <c r="H12" s="46"/>
      <c r="I12" s="46"/>
      <c r="J12" s="63">
        <f>SUM(J6:J11)</f>
        <v>111200</v>
      </c>
      <c r="K12" s="55"/>
      <c r="L12" s="46"/>
      <c r="M12" s="46"/>
      <c r="P12" s="199"/>
      <c r="X12" s="200"/>
    </row>
    <row r="13" spans="1:24" x14ac:dyDescent="0.25">
      <c r="A13" s="55"/>
      <c r="B13" s="55"/>
      <c r="C13" s="55"/>
      <c r="D13" s="55"/>
      <c r="E13" s="55"/>
      <c r="F13" s="54"/>
      <c r="G13" s="55"/>
      <c r="H13" s="46"/>
      <c r="I13" s="46"/>
      <c r="J13" s="46"/>
      <c r="K13" s="55"/>
      <c r="L13" s="46"/>
      <c r="M13" s="46"/>
      <c r="P13" s="199"/>
      <c r="X13" s="200"/>
    </row>
    <row r="14" spans="1:24" x14ac:dyDescent="0.25">
      <c r="A14" s="55"/>
      <c r="B14" s="55"/>
      <c r="C14" s="55"/>
      <c r="D14" s="55"/>
      <c r="E14" s="55"/>
      <c r="F14" s="54"/>
      <c r="G14" s="55"/>
      <c r="H14" s="46"/>
      <c r="I14" s="46"/>
      <c r="J14" s="46"/>
      <c r="K14" s="55"/>
      <c r="L14" s="46"/>
      <c r="M14" s="46"/>
      <c r="P14" s="199"/>
      <c r="X14" s="200"/>
    </row>
    <row r="15" spans="1:24" ht="15.75" x14ac:dyDescent="0.25">
      <c r="A15" s="39"/>
      <c r="B15" s="153" t="s">
        <v>248</v>
      </c>
      <c r="C15" s="336" t="s">
        <v>22</v>
      </c>
      <c r="D15" s="336"/>
      <c r="E15" s="337"/>
      <c r="F15" s="153" t="s">
        <v>249</v>
      </c>
      <c r="G15" s="336" t="s">
        <v>22</v>
      </c>
      <c r="H15" s="336"/>
      <c r="I15" s="337"/>
      <c r="J15" s="153" t="s">
        <v>250</v>
      </c>
      <c r="K15" s="336" t="s">
        <v>22</v>
      </c>
      <c r="L15" s="336"/>
      <c r="M15" s="337"/>
      <c r="P15" s="199"/>
      <c r="X15" s="200"/>
    </row>
    <row r="16" spans="1:24" x14ac:dyDescent="0.25">
      <c r="A16" s="40" t="s">
        <v>54</v>
      </c>
      <c r="B16" s="111">
        <v>80000</v>
      </c>
      <c r="C16" s="327"/>
      <c r="D16" s="327"/>
      <c r="E16" s="328"/>
      <c r="F16" s="111">
        <v>50000</v>
      </c>
      <c r="G16" s="327"/>
      <c r="H16" s="327"/>
      <c r="I16" s="328"/>
      <c r="J16" s="111">
        <v>110000</v>
      </c>
      <c r="K16" s="327"/>
      <c r="L16" s="327"/>
      <c r="M16" s="328"/>
      <c r="P16" s="199"/>
      <c r="X16" s="200"/>
    </row>
    <row r="17" spans="1:24" x14ac:dyDescent="0.25">
      <c r="A17" s="41" t="s">
        <v>55</v>
      </c>
      <c r="B17" s="105">
        <f>B16*0.15</f>
        <v>12000</v>
      </c>
      <c r="C17" s="321"/>
      <c r="D17" s="321"/>
      <c r="E17" s="322"/>
      <c r="F17" s="105">
        <f>F16*0.15</f>
        <v>7500</v>
      </c>
      <c r="G17" s="321"/>
      <c r="H17" s="321"/>
      <c r="I17" s="322"/>
      <c r="J17" s="105">
        <f>J16*0.15</f>
        <v>16500</v>
      </c>
      <c r="K17" s="321"/>
      <c r="L17" s="321"/>
      <c r="M17" s="322"/>
      <c r="P17" s="199"/>
      <c r="X17" s="200"/>
    </row>
    <row r="18" spans="1:24" x14ac:dyDescent="0.25">
      <c r="A18" s="41" t="s">
        <v>59</v>
      </c>
      <c r="B18" s="105">
        <f>B16*0.05</f>
        <v>4000</v>
      </c>
      <c r="C18" s="321"/>
      <c r="D18" s="321"/>
      <c r="E18" s="322"/>
      <c r="F18" s="105">
        <f>F16*0.05</f>
        <v>2500</v>
      </c>
      <c r="G18" s="321"/>
      <c r="H18" s="321"/>
      <c r="I18" s="322"/>
      <c r="J18" s="105">
        <f>J16*0.05</f>
        <v>5500</v>
      </c>
      <c r="K18" s="321"/>
      <c r="L18" s="321"/>
      <c r="M18" s="322"/>
      <c r="P18" s="199"/>
      <c r="X18" s="200"/>
    </row>
    <row r="19" spans="1:24" ht="15.75" thickBot="1" x14ac:dyDescent="0.3">
      <c r="A19" s="41" t="s">
        <v>56</v>
      </c>
      <c r="B19" s="105">
        <f>B16*0.02</f>
        <v>1600</v>
      </c>
      <c r="C19" s="321"/>
      <c r="D19" s="321"/>
      <c r="E19" s="322"/>
      <c r="F19" s="105">
        <f>F16*0.02</f>
        <v>1000</v>
      </c>
      <c r="G19" s="321"/>
      <c r="H19" s="321"/>
      <c r="I19" s="322"/>
      <c r="J19" s="105">
        <f>J16*0.02</f>
        <v>2200</v>
      </c>
      <c r="K19" s="321"/>
      <c r="L19" s="321"/>
      <c r="M19" s="322"/>
      <c r="P19" s="136"/>
      <c r="Q19" s="137"/>
      <c r="R19" s="137"/>
      <c r="S19" s="137"/>
      <c r="T19" s="137"/>
      <c r="U19" s="137"/>
      <c r="V19" s="137"/>
      <c r="W19" s="137"/>
      <c r="X19" s="138"/>
    </row>
    <row r="20" spans="1:24" ht="15.75" thickTop="1" x14ac:dyDescent="0.25">
      <c r="A20" s="41" t="s">
        <v>57</v>
      </c>
      <c r="B20" s="105">
        <f>B16*0.07</f>
        <v>5600.0000000000009</v>
      </c>
      <c r="C20" s="321"/>
      <c r="D20" s="321"/>
      <c r="E20" s="322"/>
      <c r="F20" s="105">
        <f>F16*0.07</f>
        <v>3500.0000000000005</v>
      </c>
      <c r="G20" s="321"/>
      <c r="H20" s="321"/>
      <c r="I20" s="322"/>
      <c r="J20" s="105">
        <f>J16*0.07</f>
        <v>7700.0000000000009</v>
      </c>
      <c r="K20" s="321"/>
      <c r="L20" s="321"/>
      <c r="M20" s="322"/>
      <c r="P20" s="258"/>
      <c r="Q20" s="259"/>
      <c r="R20" s="259"/>
      <c r="S20" s="259"/>
      <c r="T20" s="259"/>
      <c r="U20" s="259"/>
      <c r="V20" s="259"/>
      <c r="W20" s="259"/>
      <c r="X20" s="255"/>
    </row>
    <row r="21" spans="1:24" ht="17.25" x14ac:dyDescent="0.3">
      <c r="A21" s="42" t="s">
        <v>58</v>
      </c>
      <c r="B21" s="154">
        <f>B16*0.1</f>
        <v>8000</v>
      </c>
      <c r="C21" s="318"/>
      <c r="D21" s="318"/>
      <c r="E21" s="319"/>
      <c r="F21" s="154">
        <f>F16*0.1</f>
        <v>5000</v>
      </c>
      <c r="G21" s="318"/>
      <c r="H21" s="318"/>
      <c r="I21" s="319"/>
      <c r="J21" s="154">
        <f>J16*0.1</f>
        <v>11000</v>
      </c>
      <c r="K21" s="318"/>
      <c r="L21" s="318"/>
      <c r="M21" s="319"/>
      <c r="P21" s="199"/>
      <c r="Q21" s="253" t="s">
        <v>199</v>
      </c>
      <c r="X21" s="200"/>
    </row>
    <row r="22" spans="1:24" x14ac:dyDescent="0.25">
      <c r="A22" s="59" t="s">
        <v>60</v>
      </c>
      <c r="B22" s="62">
        <f>SUM(B16:B21)</f>
        <v>111200</v>
      </c>
      <c r="C22" s="55"/>
      <c r="D22" s="55"/>
      <c r="E22" s="55"/>
      <c r="F22" s="63">
        <f>SUM(F16:F21)</f>
        <v>69500</v>
      </c>
      <c r="G22" s="55"/>
      <c r="H22" s="46"/>
      <c r="I22" s="46"/>
      <c r="J22" s="63">
        <f>SUM(J16:J21)</f>
        <v>152900</v>
      </c>
      <c r="K22" s="46"/>
      <c r="L22" s="46"/>
      <c r="M22" s="46"/>
      <c r="P22" s="199"/>
      <c r="X22" s="200"/>
    </row>
    <row r="23" spans="1:24" x14ac:dyDescent="0.25">
      <c r="A23" s="55"/>
      <c r="B23" s="55"/>
      <c r="C23" s="55"/>
      <c r="D23" s="55"/>
      <c r="E23" s="55"/>
      <c r="F23" s="54"/>
      <c r="G23" s="55"/>
      <c r="H23" s="46"/>
      <c r="I23" s="46"/>
      <c r="J23" s="46"/>
      <c r="K23" s="46"/>
      <c r="L23" s="46"/>
      <c r="M23" s="46"/>
      <c r="N23" s="46"/>
      <c r="P23" s="199"/>
      <c r="R23" s="309" t="s">
        <v>200</v>
      </c>
      <c r="S23" s="310"/>
      <c r="T23" s="310"/>
      <c r="U23" s="310"/>
      <c r="V23" s="310"/>
      <c r="W23" s="311"/>
      <c r="X23" s="200"/>
    </row>
    <row r="24" spans="1:24" x14ac:dyDescent="0.25">
      <c r="A24" s="55"/>
      <c r="B24" s="55"/>
      <c r="C24" s="55"/>
      <c r="D24" s="55"/>
      <c r="E24" s="55"/>
      <c r="F24" s="54"/>
      <c r="G24" s="55"/>
      <c r="H24" s="46"/>
      <c r="I24" s="46"/>
      <c r="J24" s="46"/>
      <c r="K24" s="46"/>
      <c r="L24" s="46"/>
      <c r="M24" s="46"/>
      <c r="N24" s="46"/>
      <c r="P24" s="199"/>
      <c r="R24" s="97" t="s">
        <v>193</v>
      </c>
      <c r="S24" s="98" t="s">
        <v>194</v>
      </c>
      <c r="T24" s="98" t="s">
        <v>135</v>
      </c>
      <c r="U24" s="98" t="s">
        <v>136</v>
      </c>
      <c r="V24" s="98" t="s">
        <v>137</v>
      </c>
      <c r="W24" s="99" t="s">
        <v>225</v>
      </c>
      <c r="X24" s="200"/>
    </row>
    <row r="25" spans="1:24" x14ac:dyDescent="0.25">
      <c r="A25" s="55"/>
      <c r="B25" s="55"/>
      <c r="C25" s="55"/>
      <c r="D25" s="55"/>
      <c r="E25" s="55"/>
      <c r="F25" s="54"/>
      <c r="G25" s="55"/>
      <c r="H25" s="46"/>
      <c r="I25" s="46"/>
      <c r="J25" s="46"/>
      <c r="K25" s="46"/>
      <c r="L25" s="46"/>
      <c r="M25" s="46"/>
      <c r="N25" s="46"/>
      <c r="P25" s="199"/>
      <c r="R25" s="93">
        <f>B42</f>
        <v>43831</v>
      </c>
      <c r="S25" s="52">
        <f>F42</f>
        <v>44197</v>
      </c>
      <c r="T25" s="52">
        <f t="shared" ref="T25:T31" si="0">K42</f>
        <v>44562</v>
      </c>
      <c r="U25" s="52">
        <f t="shared" ref="U25" si="1">EDATE(T25,12)</f>
        <v>44927</v>
      </c>
      <c r="V25" s="52">
        <f t="shared" ref="V25" si="2">EDATE(U25,12)</f>
        <v>45292</v>
      </c>
      <c r="W25" s="96">
        <f t="shared" ref="W25" si="3">EDATE(V25,12)</f>
        <v>45658</v>
      </c>
      <c r="X25" s="200"/>
    </row>
    <row r="26" spans="1:24" ht="19.5" x14ac:dyDescent="0.3">
      <c r="A26" s="35" t="s">
        <v>61</v>
      </c>
      <c r="P26" s="199"/>
      <c r="Q26" s="36" t="str">
        <f t="shared" ref="Q26:Q31" si="4">A43</f>
        <v>Founders  (first year)</v>
      </c>
      <c r="R26" s="94">
        <f t="shared" ref="R26:R31" si="5">SUM(B43:E43)</f>
        <v>139000</v>
      </c>
      <c r="S26" s="87">
        <f t="shared" ref="S26:S31" si="6">SUM(F43:I43)</f>
        <v>0</v>
      </c>
      <c r="T26" s="87">
        <f t="shared" si="0"/>
        <v>0</v>
      </c>
      <c r="U26" s="87">
        <f t="shared" ref="U26:W31" si="7">L43</f>
        <v>0</v>
      </c>
      <c r="V26" s="87">
        <f t="shared" si="7"/>
        <v>0</v>
      </c>
      <c r="W26" s="90">
        <f t="shared" si="7"/>
        <v>0</v>
      </c>
      <c r="X26" s="200"/>
    </row>
    <row r="27" spans="1:24" x14ac:dyDescent="0.25">
      <c r="A27" s="31"/>
      <c r="B27" s="306" t="s">
        <v>150</v>
      </c>
      <c r="C27" s="307"/>
      <c r="D27" s="307"/>
      <c r="E27" s="307"/>
      <c r="F27" s="307"/>
      <c r="G27" s="307"/>
      <c r="H27" s="307"/>
      <c r="I27" s="308"/>
      <c r="J27" s="281"/>
      <c r="K27" s="309" t="s">
        <v>151</v>
      </c>
      <c r="L27" s="310"/>
      <c r="M27" s="310"/>
      <c r="N27" s="311"/>
      <c r="P27" s="199"/>
      <c r="Q27" s="36" t="str">
        <f t="shared" si="4"/>
        <v>Founders (2021 onwards)</v>
      </c>
      <c r="R27" s="94">
        <f t="shared" si="5"/>
        <v>0</v>
      </c>
      <c r="S27" s="87">
        <f t="shared" si="6"/>
        <v>472600</v>
      </c>
      <c r="T27" s="87">
        <f t="shared" si="0"/>
        <v>472600</v>
      </c>
      <c r="U27" s="87">
        <f t="shared" si="7"/>
        <v>472600</v>
      </c>
      <c r="V27" s="87">
        <f t="shared" si="7"/>
        <v>472600</v>
      </c>
      <c r="W27" s="90">
        <f t="shared" si="7"/>
        <v>472600</v>
      </c>
      <c r="X27" s="200"/>
    </row>
    <row r="28" spans="1:24" x14ac:dyDescent="0.25">
      <c r="A28" s="31"/>
      <c r="B28" s="312" t="s">
        <v>193</v>
      </c>
      <c r="C28" s="313"/>
      <c r="D28" s="313"/>
      <c r="E28" s="314"/>
      <c r="F28" s="315" t="s">
        <v>194</v>
      </c>
      <c r="G28" s="313"/>
      <c r="H28" s="313"/>
      <c r="I28" s="316"/>
      <c r="J28" s="281"/>
      <c r="K28" s="97" t="s">
        <v>135</v>
      </c>
      <c r="L28" s="98" t="s">
        <v>136</v>
      </c>
      <c r="M28" s="98" t="s">
        <v>137</v>
      </c>
      <c r="N28" s="99" t="s">
        <v>225</v>
      </c>
      <c r="P28" s="199"/>
      <c r="Q28" s="36" t="str">
        <f t="shared" si="4"/>
        <v>Engineers</v>
      </c>
      <c r="R28" s="94">
        <f t="shared" si="5"/>
        <v>55600</v>
      </c>
      <c r="S28" s="87">
        <f t="shared" si="6"/>
        <v>417000</v>
      </c>
      <c r="T28" s="87">
        <f t="shared" si="0"/>
        <v>667200</v>
      </c>
      <c r="U28" s="87">
        <f t="shared" si="7"/>
        <v>889600</v>
      </c>
      <c r="V28" s="87">
        <f t="shared" si="7"/>
        <v>1112000</v>
      </c>
      <c r="W28" s="90">
        <f t="shared" si="7"/>
        <v>1334400</v>
      </c>
      <c r="X28" s="200"/>
    </row>
    <row r="29" spans="1:24" x14ac:dyDescent="0.25">
      <c r="A29" s="60"/>
      <c r="B29" s="156">
        <f>StartDate</f>
        <v>43831</v>
      </c>
      <c r="C29" s="61">
        <f>EDATE(B29,3)</f>
        <v>43922</v>
      </c>
      <c r="D29" s="61">
        <f t="shared" ref="D29" si="8">EDATE(C29,3)</f>
        <v>44013</v>
      </c>
      <c r="E29" s="61">
        <f t="shared" ref="E29" si="9">EDATE(D29,3)</f>
        <v>44105</v>
      </c>
      <c r="F29" s="61">
        <f t="shared" ref="F29" si="10">EDATE(E29,3)</f>
        <v>44197</v>
      </c>
      <c r="G29" s="61">
        <f t="shared" ref="G29" si="11">EDATE(F29,3)</f>
        <v>44287</v>
      </c>
      <c r="H29" s="61">
        <f t="shared" ref="H29" si="12">EDATE(G29,3)</f>
        <v>44378</v>
      </c>
      <c r="I29" s="159">
        <f t="shared" ref="I29" si="13">EDATE(H29,3)</f>
        <v>44470</v>
      </c>
      <c r="J29" s="281"/>
      <c r="K29" s="156">
        <f>EDATE(I29,3)</f>
        <v>44562</v>
      </c>
      <c r="L29" s="61">
        <f t="shared" ref="L29" si="14">EDATE(K29,12)</f>
        <v>44927</v>
      </c>
      <c r="M29" s="61">
        <f t="shared" ref="M29:N29" si="15">EDATE(L29,12)</f>
        <v>45292</v>
      </c>
      <c r="N29" s="157">
        <f t="shared" si="15"/>
        <v>45658</v>
      </c>
      <c r="P29" s="199"/>
      <c r="Q29" s="36" t="str">
        <f t="shared" si="4"/>
        <v>Sales</v>
      </c>
      <c r="R29" s="94">
        <f t="shared" si="5"/>
        <v>27800</v>
      </c>
      <c r="S29" s="87">
        <f t="shared" si="6"/>
        <v>361400</v>
      </c>
      <c r="T29" s="87">
        <f t="shared" si="0"/>
        <v>667200</v>
      </c>
      <c r="U29" s="87">
        <f t="shared" si="7"/>
        <v>1223200</v>
      </c>
      <c r="V29" s="87">
        <f t="shared" si="7"/>
        <v>1556800</v>
      </c>
      <c r="W29" s="90">
        <f t="shared" si="7"/>
        <v>1668000</v>
      </c>
      <c r="X29" s="200"/>
    </row>
    <row r="30" spans="1:24" x14ac:dyDescent="0.25">
      <c r="A30" s="36" t="str">
        <f>B5</f>
        <v>Founders  (first year)</v>
      </c>
      <c r="B30" s="140">
        <v>4</v>
      </c>
      <c r="C30" s="126">
        <v>4</v>
      </c>
      <c r="D30" s="126">
        <v>4</v>
      </c>
      <c r="E30" s="126">
        <v>4</v>
      </c>
      <c r="F30" s="126"/>
      <c r="G30" s="126"/>
      <c r="H30" s="126"/>
      <c r="I30" s="141"/>
      <c r="J30" s="281"/>
      <c r="K30" s="140"/>
      <c r="L30" s="126"/>
      <c r="M30" s="126"/>
      <c r="N30" s="141"/>
      <c r="P30" s="199"/>
      <c r="Q30" s="36" t="str">
        <f t="shared" si="4"/>
        <v>Admin</v>
      </c>
      <c r="R30" s="94">
        <f t="shared" si="5"/>
        <v>0</v>
      </c>
      <c r="S30" s="87">
        <f t="shared" si="6"/>
        <v>121625</v>
      </c>
      <c r="T30" s="87">
        <f t="shared" si="0"/>
        <v>278000</v>
      </c>
      <c r="U30" s="87">
        <f t="shared" si="7"/>
        <v>486500</v>
      </c>
      <c r="V30" s="87">
        <f t="shared" si="7"/>
        <v>556000</v>
      </c>
      <c r="W30" s="90">
        <f t="shared" si="7"/>
        <v>625500</v>
      </c>
      <c r="X30" s="200"/>
    </row>
    <row r="31" spans="1:24" s="53" customFormat="1" ht="15.75" thickBot="1" x14ac:dyDescent="0.3">
      <c r="A31" s="36" t="str">
        <f>F5</f>
        <v>Founders (2021 onwards)</v>
      </c>
      <c r="B31" s="140"/>
      <c r="C31" s="126"/>
      <c r="D31" s="126"/>
      <c r="E31" s="126"/>
      <c r="F31" s="126">
        <v>4</v>
      </c>
      <c r="G31" s="126">
        <v>4</v>
      </c>
      <c r="H31" s="126">
        <v>4</v>
      </c>
      <c r="I31" s="141">
        <v>4</v>
      </c>
      <c r="J31" s="281"/>
      <c r="K31" s="140">
        <v>4</v>
      </c>
      <c r="L31" s="126">
        <v>4</v>
      </c>
      <c r="M31" s="126">
        <v>4</v>
      </c>
      <c r="N31" s="141">
        <v>4</v>
      </c>
      <c r="P31" s="199"/>
      <c r="Q31" s="36" t="str">
        <f t="shared" si="4"/>
        <v>Finance</v>
      </c>
      <c r="R31" s="95">
        <f t="shared" si="5"/>
        <v>0</v>
      </c>
      <c r="S31" s="88">
        <f t="shared" si="6"/>
        <v>114675</v>
      </c>
      <c r="T31" s="88">
        <f t="shared" si="0"/>
        <v>305800</v>
      </c>
      <c r="U31" s="88">
        <f t="shared" si="7"/>
        <v>458700</v>
      </c>
      <c r="V31" s="88">
        <f t="shared" si="7"/>
        <v>458700</v>
      </c>
      <c r="W31" s="91">
        <f t="shared" si="7"/>
        <v>458700</v>
      </c>
      <c r="X31" s="200"/>
    </row>
    <row r="32" spans="1:24" ht="15.75" thickTop="1" x14ac:dyDescent="0.25">
      <c r="A32" s="36" t="str">
        <f>J5</f>
        <v>Engineers</v>
      </c>
      <c r="B32" s="140"/>
      <c r="C32" s="126"/>
      <c r="D32" s="126">
        <v>1</v>
      </c>
      <c r="E32" s="126">
        <v>1</v>
      </c>
      <c r="F32" s="126">
        <v>3</v>
      </c>
      <c r="G32" s="126">
        <v>3</v>
      </c>
      <c r="H32" s="126">
        <v>4</v>
      </c>
      <c r="I32" s="141">
        <v>5</v>
      </c>
      <c r="J32" s="281"/>
      <c r="K32" s="140">
        <v>6</v>
      </c>
      <c r="L32" s="126">
        <v>8</v>
      </c>
      <c r="M32" s="126">
        <v>10</v>
      </c>
      <c r="N32" s="141">
        <v>12</v>
      </c>
      <c r="P32" s="199"/>
      <c r="R32" s="74">
        <f>SUM(R26:R31)</f>
        <v>222400</v>
      </c>
      <c r="S32" s="74">
        <f t="shared" ref="S32:W32" si="16">SUM(S26:S31)</f>
        <v>1487300</v>
      </c>
      <c r="T32" s="74">
        <f t="shared" si="16"/>
        <v>2390800</v>
      </c>
      <c r="U32" s="74">
        <f t="shared" si="16"/>
        <v>3530600</v>
      </c>
      <c r="V32" s="74">
        <f t="shared" si="16"/>
        <v>4156100</v>
      </c>
      <c r="W32" s="119">
        <f t="shared" si="16"/>
        <v>4559200</v>
      </c>
      <c r="X32" s="200"/>
    </row>
    <row r="33" spans="1:24" x14ac:dyDescent="0.25">
      <c r="A33" s="36" t="str">
        <f>B15</f>
        <v>Sales</v>
      </c>
      <c r="B33" s="140"/>
      <c r="C33" s="126"/>
      <c r="D33" s="126"/>
      <c r="E33" s="126">
        <v>1</v>
      </c>
      <c r="F33" s="126">
        <v>2</v>
      </c>
      <c r="G33" s="126">
        <v>3</v>
      </c>
      <c r="H33" s="126">
        <v>3</v>
      </c>
      <c r="I33" s="141">
        <v>5</v>
      </c>
      <c r="J33" s="281"/>
      <c r="K33" s="140">
        <v>6</v>
      </c>
      <c r="L33" s="126">
        <v>11</v>
      </c>
      <c r="M33" s="126">
        <v>14</v>
      </c>
      <c r="N33" s="141">
        <v>15</v>
      </c>
      <c r="P33" s="199"/>
      <c r="X33" s="200"/>
    </row>
    <row r="34" spans="1:24" x14ac:dyDescent="0.25">
      <c r="A34" s="36" t="str">
        <f>F15</f>
        <v>Admin</v>
      </c>
      <c r="B34" s="140"/>
      <c r="C34" s="126"/>
      <c r="D34" s="126"/>
      <c r="E34" s="126"/>
      <c r="F34" s="126">
        <v>1</v>
      </c>
      <c r="G34" s="126">
        <v>1</v>
      </c>
      <c r="H34" s="126">
        <v>2</v>
      </c>
      <c r="I34" s="141">
        <v>3</v>
      </c>
      <c r="J34" s="281"/>
      <c r="K34" s="140">
        <v>4</v>
      </c>
      <c r="L34" s="126">
        <v>7</v>
      </c>
      <c r="M34" s="126">
        <v>8</v>
      </c>
      <c r="N34" s="141">
        <v>9</v>
      </c>
      <c r="P34" s="199"/>
      <c r="X34" s="200"/>
    </row>
    <row r="35" spans="1:24" ht="15.75" thickBot="1" x14ac:dyDescent="0.3">
      <c r="A35" s="37" t="str">
        <f>J15</f>
        <v>Finance</v>
      </c>
      <c r="B35" s="160"/>
      <c r="C35" s="155"/>
      <c r="D35" s="155"/>
      <c r="E35" s="155"/>
      <c r="F35" s="155"/>
      <c r="G35" s="155">
        <v>1</v>
      </c>
      <c r="H35" s="155">
        <v>1</v>
      </c>
      <c r="I35" s="161">
        <v>1</v>
      </c>
      <c r="J35" s="281"/>
      <c r="K35" s="160">
        <v>2</v>
      </c>
      <c r="L35" s="155">
        <v>3</v>
      </c>
      <c r="M35" s="155">
        <v>3</v>
      </c>
      <c r="N35" s="161">
        <v>3</v>
      </c>
      <c r="P35" s="199"/>
      <c r="X35" s="200"/>
    </row>
    <row r="36" spans="1:24" ht="15.75" thickTop="1" x14ac:dyDescent="0.25">
      <c r="A36" s="38" t="s">
        <v>15</v>
      </c>
      <c r="B36" s="135">
        <f>SUM(B30:B35)</f>
        <v>4</v>
      </c>
      <c r="C36" s="45">
        <f t="shared" ref="C36:N36" si="17">SUM(C30:C35)</f>
        <v>4</v>
      </c>
      <c r="D36" s="45">
        <f t="shared" si="17"/>
        <v>5</v>
      </c>
      <c r="E36" s="45">
        <f t="shared" si="17"/>
        <v>6</v>
      </c>
      <c r="F36" s="45">
        <f t="shared" si="17"/>
        <v>10</v>
      </c>
      <c r="G36" s="45">
        <f t="shared" si="17"/>
        <v>12</v>
      </c>
      <c r="H36" s="45">
        <f t="shared" si="17"/>
        <v>14</v>
      </c>
      <c r="I36" s="92">
        <f t="shared" si="17"/>
        <v>18</v>
      </c>
      <c r="J36" s="281"/>
      <c r="K36" s="135">
        <f t="shared" si="17"/>
        <v>22</v>
      </c>
      <c r="L36" s="45">
        <f t="shared" si="17"/>
        <v>33</v>
      </c>
      <c r="M36" s="45">
        <f t="shared" si="17"/>
        <v>39</v>
      </c>
      <c r="N36" s="92">
        <f t="shared" si="17"/>
        <v>43</v>
      </c>
      <c r="P36" s="199"/>
      <c r="X36" s="200"/>
    </row>
    <row r="37" spans="1:24" x14ac:dyDescent="0.25">
      <c r="P37" s="199"/>
      <c r="X37" s="200"/>
    </row>
    <row r="38" spans="1:24" x14ac:dyDescent="0.25">
      <c r="P38" s="199"/>
      <c r="X38" s="200"/>
    </row>
    <row r="39" spans="1:24" ht="19.5" x14ac:dyDescent="0.3">
      <c r="A39" s="35" t="s">
        <v>62</v>
      </c>
      <c r="P39" s="199"/>
      <c r="X39" s="200"/>
    </row>
    <row r="40" spans="1:24" x14ac:dyDescent="0.25">
      <c r="A40" s="31"/>
      <c r="B40" s="306" t="s">
        <v>152</v>
      </c>
      <c r="C40" s="307"/>
      <c r="D40" s="307"/>
      <c r="E40" s="307"/>
      <c r="F40" s="307"/>
      <c r="G40" s="307"/>
      <c r="H40" s="307"/>
      <c r="I40" s="308"/>
      <c r="J40" s="281"/>
      <c r="K40" s="309" t="s">
        <v>153</v>
      </c>
      <c r="L40" s="310"/>
      <c r="M40" s="310"/>
      <c r="N40" s="311"/>
      <c r="P40" s="199"/>
      <c r="X40" s="200"/>
    </row>
    <row r="41" spans="1:24" x14ac:dyDescent="0.25">
      <c r="A41" s="31"/>
      <c r="B41" s="312" t="s">
        <v>193</v>
      </c>
      <c r="C41" s="313"/>
      <c r="D41" s="313"/>
      <c r="E41" s="314"/>
      <c r="F41" s="315" t="s">
        <v>194</v>
      </c>
      <c r="G41" s="313"/>
      <c r="H41" s="313"/>
      <c r="I41" s="316"/>
      <c r="J41" s="281"/>
      <c r="K41" s="97" t="s">
        <v>135</v>
      </c>
      <c r="L41" s="98" t="s">
        <v>136</v>
      </c>
      <c r="M41" s="98" t="s">
        <v>137</v>
      </c>
      <c r="N41" s="99" t="s">
        <v>225</v>
      </c>
      <c r="P41" s="199"/>
      <c r="X41" s="200"/>
    </row>
    <row r="42" spans="1:24" x14ac:dyDescent="0.25">
      <c r="A42" s="51"/>
      <c r="B42" s="93">
        <f>StartDate</f>
        <v>43831</v>
      </c>
      <c r="C42" s="52">
        <f>EDATE(B42,3)</f>
        <v>43922</v>
      </c>
      <c r="D42" s="52">
        <f t="shared" ref="D42" si="18">EDATE(C42,3)</f>
        <v>44013</v>
      </c>
      <c r="E42" s="52">
        <f t="shared" ref="E42" si="19">EDATE(D42,3)</f>
        <v>44105</v>
      </c>
      <c r="F42" s="52">
        <f t="shared" ref="F42" si="20">EDATE(E42,3)</f>
        <v>44197</v>
      </c>
      <c r="G42" s="52">
        <f t="shared" ref="G42" si="21">EDATE(F42,3)</f>
        <v>44287</v>
      </c>
      <c r="H42" s="52">
        <f t="shared" ref="H42" si="22">EDATE(G42,3)</f>
        <v>44378</v>
      </c>
      <c r="I42" s="89">
        <f t="shared" ref="I42" si="23">EDATE(H42,3)</f>
        <v>44470</v>
      </c>
      <c r="J42" s="281"/>
      <c r="K42" s="93">
        <f>EDATE(I42,3)</f>
        <v>44562</v>
      </c>
      <c r="L42" s="52">
        <f t="shared" ref="L42" si="24">EDATE(K42,12)</f>
        <v>44927</v>
      </c>
      <c r="M42" s="52">
        <f t="shared" ref="M42:N42" si="25">EDATE(L42,12)</f>
        <v>45292</v>
      </c>
      <c r="N42" s="96">
        <f t="shared" si="25"/>
        <v>45658</v>
      </c>
      <c r="P42" s="199"/>
      <c r="X42" s="200"/>
    </row>
    <row r="43" spans="1:24" x14ac:dyDescent="0.25">
      <c r="A43" s="36" t="str">
        <f>A30</f>
        <v>Founders  (first year)</v>
      </c>
      <c r="B43" s="129">
        <f>$B$12*B30/4</f>
        <v>34750</v>
      </c>
      <c r="C43" s="43">
        <f t="shared" ref="C43:I43" si="26">$B$12*C30/4</f>
        <v>34750</v>
      </c>
      <c r="D43" s="43">
        <f t="shared" si="26"/>
        <v>34750</v>
      </c>
      <c r="E43" s="43">
        <f t="shared" si="26"/>
        <v>34750</v>
      </c>
      <c r="F43" s="43">
        <f t="shared" si="26"/>
        <v>0</v>
      </c>
      <c r="G43" s="43">
        <f t="shared" si="26"/>
        <v>0</v>
      </c>
      <c r="H43" s="43">
        <f t="shared" si="26"/>
        <v>0</v>
      </c>
      <c r="I43" s="130">
        <f t="shared" si="26"/>
        <v>0</v>
      </c>
      <c r="J43" s="281"/>
      <c r="K43" s="129">
        <f>$B$12*K30</f>
        <v>0</v>
      </c>
      <c r="L43" s="43">
        <f t="shared" ref="L43:N43" si="27">$B$12*L30</f>
        <v>0</v>
      </c>
      <c r="M43" s="43">
        <f t="shared" si="27"/>
        <v>0</v>
      </c>
      <c r="N43" s="130">
        <f t="shared" si="27"/>
        <v>0</v>
      </c>
      <c r="P43" s="199"/>
      <c r="X43" s="200"/>
    </row>
    <row r="44" spans="1:24" x14ac:dyDescent="0.25">
      <c r="A44" s="36" t="str">
        <f t="shared" ref="A44:A48" si="28">A31</f>
        <v>Founders (2021 onwards)</v>
      </c>
      <c r="B44" s="129">
        <f>$F$12*B31/4</f>
        <v>0</v>
      </c>
      <c r="C44" s="43">
        <f t="shared" ref="C44:I44" si="29">$F$12*C31/4</f>
        <v>0</v>
      </c>
      <c r="D44" s="43">
        <f t="shared" si="29"/>
        <v>0</v>
      </c>
      <c r="E44" s="43">
        <f t="shared" si="29"/>
        <v>0</v>
      </c>
      <c r="F44" s="43">
        <f t="shared" si="29"/>
        <v>118150</v>
      </c>
      <c r="G44" s="43">
        <f t="shared" si="29"/>
        <v>118150</v>
      </c>
      <c r="H44" s="43">
        <f t="shared" si="29"/>
        <v>118150</v>
      </c>
      <c r="I44" s="130">
        <f t="shared" si="29"/>
        <v>118150</v>
      </c>
      <c r="J44" s="281"/>
      <c r="K44" s="129">
        <f>$F$12*K31</f>
        <v>472600</v>
      </c>
      <c r="L44" s="43">
        <f t="shared" ref="L44:N44" si="30">$F$12*L31</f>
        <v>472600</v>
      </c>
      <c r="M44" s="43">
        <f t="shared" si="30"/>
        <v>472600</v>
      </c>
      <c r="N44" s="130">
        <f t="shared" si="30"/>
        <v>472600</v>
      </c>
      <c r="P44" s="199"/>
      <c r="X44" s="200"/>
    </row>
    <row r="45" spans="1:24" x14ac:dyDescent="0.25">
      <c r="A45" s="36" t="str">
        <f t="shared" si="28"/>
        <v>Engineers</v>
      </c>
      <c r="B45" s="129">
        <f t="shared" ref="B45:I45" si="31">$J$12*B32/4</f>
        <v>0</v>
      </c>
      <c r="C45" s="43">
        <f t="shared" si="31"/>
        <v>0</v>
      </c>
      <c r="D45" s="43">
        <f t="shared" si="31"/>
        <v>27800</v>
      </c>
      <c r="E45" s="43">
        <f t="shared" si="31"/>
        <v>27800</v>
      </c>
      <c r="F45" s="43">
        <f t="shared" si="31"/>
        <v>83400</v>
      </c>
      <c r="G45" s="43">
        <f t="shared" si="31"/>
        <v>83400</v>
      </c>
      <c r="H45" s="43">
        <f t="shared" si="31"/>
        <v>111200</v>
      </c>
      <c r="I45" s="130">
        <f t="shared" si="31"/>
        <v>139000</v>
      </c>
      <c r="J45" s="281"/>
      <c r="K45" s="129">
        <f>$J$12*K32</f>
        <v>667200</v>
      </c>
      <c r="L45" s="43">
        <f>$J$12*L32</f>
        <v>889600</v>
      </c>
      <c r="M45" s="43">
        <f>$J$12*M32</f>
        <v>1112000</v>
      </c>
      <c r="N45" s="130">
        <f>$J$12*N32</f>
        <v>1334400</v>
      </c>
      <c r="P45" s="199"/>
      <c r="X45" s="200"/>
    </row>
    <row r="46" spans="1:24" x14ac:dyDescent="0.25">
      <c r="A46" s="36" t="str">
        <f t="shared" si="28"/>
        <v>Sales</v>
      </c>
      <c r="B46" s="129">
        <f>$B$22*B33/4</f>
        <v>0</v>
      </c>
      <c r="C46" s="43">
        <f t="shared" ref="C46:I46" si="32">$B$22*C33/4</f>
        <v>0</v>
      </c>
      <c r="D46" s="43">
        <f t="shared" si="32"/>
        <v>0</v>
      </c>
      <c r="E46" s="43">
        <f t="shared" si="32"/>
        <v>27800</v>
      </c>
      <c r="F46" s="43">
        <f t="shared" si="32"/>
        <v>55600</v>
      </c>
      <c r="G46" s="43">
        <f t="shared" si="32"/>
        <v>83400</v>
      </c>
      <c r="H46" s="43">
        <f t="shared" si="32"/>
        <v>83400</v>
      </c>
      <c r="I46" s="130">
        <f t="shared" si="32"/>
        <v>139000</v>
      </c>
      <c r="J46" s="281"/>
      <c r="K46" s="129">
        <f>$B$22*K33</f>
        <v>667200</v>
      </c>
      <c r="L46" s="43">
        <f t="shared" ref="L46:N46" si="33">$B$22*L33</f>
        <v>1223200</v>
      </c>
      <c r="M46" s="43">
        <f t="shared" si="33"/>
        <v>1556800</v>
      </c>
      <c r="N46" s="130">
        <f t="shared" si="33"/>
        <v>1668000</v>
      </c>
      <c r="P46" s="199"/>
      <c r="X46" s="200"/>
    </row>
    <row r="47" spans="1:24" x14ac:dyDescent="0.25">
      <c r="A47" s="36" t="str">
        <f t="shared" si="28"/>
        <v>Admin</v>
      </c>
      <c r="B47" s="129">
        <f>$F$22*B34/4</f>
        <v>0</v>
      </c>
      <c r="C47" s="43">
        <f t="shared" ref="C47:I47" si="34">$F$22*C34/4</f>
        <v>0</v>
      </c>
      <c r="D47" s="43">
        <f t="shared" si="34"/>
        <v>0</v>
      </c>
      <c r="E47" s="43">
        <f t="shared" si="34"/>
        <v>0</v>
      </c>
      <c r="F47" s="43">
        <f t="shared" si="34"/>
        <v>17375</v>
      </c>
      <c r="G47" s="43">
        <f t="shared" si="34"/>
        <v>17375</v>
      </c>
      <c r="H47" s="43">
        <f t="shared" si="34"/>
        <v>34750</v>
      </c>
      <c r="I47" s="130">
        <f t="shared" si="34"/>
        <v>52125</v>
      </c>
      <c r="J47" s="281"/>
      <c r="K47" s="129">
        <f>$F$22*K34</f>
        <v>278000</v>
      </c>
      <c r="L47" s="43">
        <f t="shared" ref="L47:N47" si="35">$F$22*L34</f>
        <v>486500</v>
      </c>
      <c r="M47" s="43">
        <f t="shared" si="35"/>
        <v>556000</v>
      </c>
      <c r="N47" s="130">
        <f t="shared" si="35"/>
        <v>625500</v>
      </c>
      <c r="P47" s="199"/>
      <c r="X47" s="200"/>
    </row>
    <row r="48" spans="1:24" ht="15.75" thickBot="1" x14ac:dyDescent="0.3">
      <c r="A48" s="37" t="str">
        <f t="shared" si="28"/>
        <v>Finance</v>
      </c>
      <c r="B48" s="131">
        <f t="shared" ref="B48:I48" si="36">$J$22*B35/4</f>
        <v>0</v>
      </c>
      <c r="C48" s="44">
        <f t="shared" si="36"/>
        <v>0</v>
      </c>
      <c r="D48" s="44">
        <f t="shared" si="36"/>
        <v>0</v>
      </c>
      <c r="E48" s="44">
        <f t="shared" si="36"/>
        <v>0</v>
      </c>
      <c r="F48" s="44">
        <f t="shared" si="36"/>
        <v>0</v>
      </c>
      <c r="G48" s="44">
        <f t="shared" si="36"/>
        <v>38225</v>
      </c>
      <c r="H48" s="44">
        <f t="shared" si="36"/>
        <v>38225</v>
      </c>
      <c r="I48" s="132">
        <f t="shared" si="36"/>
        <v>38225</v>
      </c>
      <c r="J48" s="281"/>
      <c r="K48" s="131">
        <f>$J$22*K35</f>
        <v>305800</v>
      </c>
      <c r="L48" s="44">
        <f>$J$22*L35</f>
        <v>458700</v>
      </c>
      <c r="M48" s="44">
        <f>$J$22*M35</f>
        <v>458700</v>
      </c>
      <c r="N48" s="132">
        <f>$J$22*N35</f>
        <v>458700</v>
      </c>
      <c r="P48" s="199"/>
      <c r="X48" s="200"/>
    </row>
    <row r="49" spans="1:24" ht="16.5" thickTop="1" thickBot="1" x14ac:dyDescent="0.3">
      <c r="A49" s="38" t="s">
        <v>15</v>
      </c>
      <c r="B49" s="135">
        <f>SUM(B43:B48)</f>
        <v>34750</v>
      </c>
      <c r="C49" s="45">
        <f t="shared" ref="C49:N49" si="37">SUM(C43:C48)</f>
        <v>34750</v>
      </c>
      <c r="D49" s="45">
        <f t="shared" si="37"/>
        <v>62550</v>
      </c>
      <c r="E49" s="45">
        <f t="shared" si="37"/>
        <v>90350</v>
      </c>
      <c r="F49" s="45">
        <f t="shared" si="37"/>
        <v>274525</v>
      </c>
      <c r="G49" s="45">
        <f t="shared" si="37"/>
        <v>340550</v>
      </c>
      <c r="H49" s="45">
        <f t="shared" si="37"/>
        <v>385725</v>
      </c>
      <c r="I49" s="92">
        <f t="shared" si="37"/>
        <v>486500</v>
      </c>
      <c r="J49" s="281"/>
      <c r="K49" s="135">
        <f t="shared" si="37"/>
        <v>2390800</v>
      </c>
      <c r="L49" s="45">
        <f t="shared" si="37"/>
        <v>3530600</v>
      </c>
      <c r="M49" s="45">
        <f t="shared" si="37"/>
        <v>4156100</v>
      </c>
      <c r="N49" s="92">
        <f t="shared" si="37"/>
        <v>4559200</v>
      </c>
      <c r="P49" s="136"/>
      <c r="Q49" s="137"/>
      <c r="R49" s="137"/>
      <c r="S49" s="137"/>
      <c r="T49" s="137"/>
      <c r="U49" s="137"/>
      <c r="V49" s="137"/>
      <c r="W49" s="137"/>
      <c r="X49" s="138"/>
    </row>
    <row r="50" spans="1:24" ht="15.75" thickTop="1" x14ac:dyDescent="0.25"/>
  </sheetData>
  <mergeCells count="51">
    <mergeCell ref="B41:E41"/>
    <mergeCell ref="F41:I41"/>
    <mergeCell ref="C5:E5"/>
    <mergeCell ref="G5:I5"/>
    <mergeCell ref="C6:E6"/>
    <mergeCell ref="G6:I6"/>
    <mergeCell ref="C7:E7"/>
    <mergeCell ref="G7:I7"/>
    <mergeCell ref="C8:E8"/>
    <mergeCell ref="G8:I8"/>
    <mergeCell ref="C11:E11"/>
    <mergeCell ref="G11:I11"/>
    <mergeCell ref="C9:E9"/>
    <mergeCell ref="G9:I9"/>
    <mergeCell ref="C10:E10"/>
    <mergeCell ref="G10:I10"/>
    <mergeCell ref="C15:E15"/>
    <mergeCell ref="G15:I15"/>
    <mergeCell ref="C16:E16"/>
    <mergeCell ref="G16:I16"/>
    <mergeCell ref="K15:M15"/>
    <mergeCell ref="K16:M16"/>
    <mergeCell ref="K10:M10"/>
    <mergeCell ref="K11:M11"/>
    <mergeCell ref="B40:I40"/>
    <mergeCell ref="K40:N40"/>
    <mergeCell ref="C17:E17"/>
    <mergeCell ref="G17:I17"/>
    <mergeCell ref="C18:E18"/>
    <mergeCell ref="G18:I18"/>
    <mergeCell ref="C21:E21"/>
    <mergeCell ref="G21:I21"/>
    <mergeCell ref="K17:M17"/>
    <mergeCell ref="K18:M18"/>
    <mergeCell ref="B27:I27"/>
    <mergeCell ref="K27:N27"/>
    <mergeCell ref="B28:E28"/>
    <mergeCell ref="F28:I28"/>
    <mergeCell ref="R23:W23"/>
    <mergeCell ref="C19:E19"/>
    <mergeCell ref="G19:I19"/>
    <mergeCell ref="C20:E20"/>
    <mergeCell ref="G20:I20"/>
    <mergeCell ref="K20:M20"/>
    <mergeCell ref="K21:M21"/>
    <mergeCell ref="K19:M19"/>
    <mergeCell ref="K5:M5"/>
    <mergeCell ref="K6:M6"/>
    <mergeCell ref="K7:M7"/>
    <mergeCell ref="K8:M8"/>
    <mergeCell ref="K9:M9"/>
  </mergeCells>
  <pageMargins left="0.25" right="0.25" top="0.75" bottom="0.75" header="0.3" footer="0.3"/>
  <pageSetup paperSize="5" scale="57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tabColor theme="9" tint="0.59999389629810485"/>
    <pageSetUpPr fitToPage="1"/>
  </sheetPr>
  <dimension ref="A1:X57"/>
  <sheetViews>
    <sheetView topLeftCell="C23" workbookViewId="0">
      <selection activeCell="E34" sqref="E34"/>
    </sheetView>
  </sheetViews>
  <sheetFormatPr defaultColWidth="8.85546875" defaultRowHeight="15" x14ac:dyDescent="0.25"/>
  <cols>
    <col min="1" max="1" width="20.140625" customWidth="1"/>
    <col min="2" max="9" width="11.85546875" customWidth="1"/>
    <col min="10" max="10" width="9.42578125" customWidth="1"/>
    <col min="11" max="14" width="11.85546875" customWidth="1"/>
    <col min="15" max="15" width="10" customWidth="1"/>
    <col min="16" max="16" width="3.85546875" customWidth="1"/>
    <col min="17" max="23" width="14.42578125" customWidth="1"/>
    <col min="24" max="24" width="3.85546875" customWidth="1"/>
  </cols>
  <sheetData>
    <row r="1" spans="1:24" ht="24.75" thickTop="1" thickBot="1" x14ac:dyDescent="0.4">
      <c r="A1" s="33" t="s">
        <v>242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33" t="str">
        <f>CompanyName &amp;" Projected Operating Costs Chart"</f>
        <v>WorkHorse Inc. Projected Operating Costs Chart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"Operating Expenses ("&amp;SubHeader&amp;")"</f>
        <v>Operating Expenses (USD)</v>
      </c>
      <c r="B2" s="86"/>
      <c r="C2" s="28"/>
      <c r="D2" s="28"/>
      <c r="P2" s="199"/>
      <c r="X2" s="200"/>
    </row>
    <row r="3" spans="1:24" ht="17.25" x14ac:dyDescent="0.3">
      <c r="B3" s="86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 t="s">
        <v>198</v>
      </c>
      <c r="X3" s="200"/>
    </row>
    <row r="4" spans="1:24" ht="19.5" x14ac:dyDescent="0.3">
      <c r="A4" s="32" t="s">
        <v>41</v>
      </c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X4" s="200"/>
    </row>
    <row r="5" spans="1:24" s="39" customFormat="1" ht="15.75" x14ac:dyDescent="0.25">
      <c r="B5" s="57" t="s">
        <v>64</v>
      </c>
      <c r="C5" s="57" t="s">
        <v>63</v>
      </c>
      <c r="D5" s="346" t="s">
        <v>22</v>
      </c>
      <c r="E5" s="332"/>
      <c r="F5" s="332"/>
      <c r="G5" s="332"/>
      <c r="H5" s="333"/>
      <c r="M5" s="29"/>
      <c r="N5" s="29"/>
      <c r="P5" s="256"/>
      <c r="X5" s="257"/>
    </row>
    <row r="6" spans="1:24" ht="15" customHeight="1" x14ac:dyDescent="0.25">
      <c r="A6" s="40" t="s">
        <v>65</v>
      </c>
      <c r="B6" s="111">
        <v>20000</v>
      </c>
      <c r="C6" s="185">
        <v>0.15</v>
      </c>
      <c r="D6" s="326" t="s">
        <v>268</v>
      </c>
      <c r="E6" s="327"/>
      <c r="F6" s="327"/>
      <c r="G6" s="327"/>
      <c r="H6" s="328"/>
      <c r="M6" s="29"/>
      <c r="N6" s="29"/>
      <c r="P6" s="199"/>
      <c r="X6" s="200"/>
    </row>
    <row r="7" spans="1:24" x14ac:dyDescent="0.25">
      <c r="A7" s="41" t="s">
        <v>66</v>
      </c>
      <c r="B7" s="105">
        <v>25000</v>
      </c>
      <c r="C7" s="186">
        <v>0.1</v>
      </c>
      <c r="D7" s="320" t="s">
        <v>269</v>
      </c>
      <c r="E7" s="321"/>
      <c r="F7" s="321"/>
      <c r="G7" s="321"/>
      <c r="H7" s="322"/>
      <c r="M7" s="29"/>
      <c r="N7" s="29"/>
      <c r="P7" s="199"/>
      <c r="X7" s="200"/>
    </row>
    <row r="8" spans="1:24" x14ac:dyDescent="0.25">
      <c r="A8" s="41" t="s">
        <v>67</v>
      </c>
      <c r="B8" s="105">
        <v>90000</v>
      </c>
      <c r="C8" s="186">
        <v>0.8</v>
      </c>
      <c r="D8" s="320" t="s">
        <v>270</v>
      </c>
      <c r="E8" s="321"/>
      <c r="F8" s="321"/>
      <c r="G8" s="321"/>
      <c r="H8" s="322"/>
      <c r="M8" s="29"/>
      <c r="N8" s="29"/>
      <c r="P8" s="199"/>
      <c r="X8" s="200"/>
    </row>
    <row r="9" spans="1:24" ht="15" customHeight="1" x14ac:dyDescent="0.25">
      <c r="A9" s="41" t="s">
        <v>33</v>
      </c>
      <c r="B9" s="105">
        <v>30000</v>
      </c>
      <c r="C9" s="186">
        <v>0.8</v>
      </c>
      <c r="D9" s="320" t="s">
        <v>271</v>
      </c>
      <c r="E9" s="321"/>
      <c r="F9" s="321"/>
      <c r="G9" s="321"/>
      <c r="H9" s="322"/>
      <c r="M9" s="29"/>
      <c r="N9" s="29"/>
      <c r="P9" s="199"/>
      <c r="X9" s="200"/>
    </row>
    <row r="10" spans="1:24" x14ac:dyDescent="0.25">
      <c r="A10" s="41" t="s">
        <v>31</v>
      </c>
      <c r="B10" s="105">
        <v>20000</v>
      </c>
      <c r="C10" s="186">
        <v>0.2</v>
      </c>
      <c r="D10" s="320" t="s">
        <v>272</v>
      </c>
      <c r="E10" s="321"/>
      <c r="F10" s="321"/>
      <c r="G10" s="321"/>
      <c r="H10" s="322"/>
      <c r="M10" s="29"/>
      <c r="N10" s="29"/>
      <c r="P10" s="199"/>
      <c r="X10" s="200"/>
    </row>
    <row r="11" spans="1:24" x14ac:dyDescent="0.25">
      <c r="A11" s="41" t="s">
        <v>32</v>
      </c>
      <c r="B11" s="105">
        <v>5000</v>
      </c>
      <c r="C11" s="186">
        <v>0.1</v>
      </c>
      <c r="D11" s="320" t="s">
        <v>273</v>
      </c>
      <c r="E11" s="321"/>
      <c r="F11" s="321"/>
      <c r="G11" s="321"/>
      <c r="H11" s="322"/>
      <c r="M11" s="29"/>
      <c r="N11" s="29"/>
      <c r="P11" s="199"/>
      <c r="X11" s="200"/>
    </row>
    <row r="12" spans="1:24" x14ac:dyDescent="0.25">
      <c r="A12" s="42" t="s">
        <v>68</v>
      </c>
      <c r="B12" s="187">
        <v>7000</v>
      </c>
      <c r="C12" s="188">
        <v>0.1</v>
      </c>
      <c r="D12" s="317" t="s">
        <v>274</v>
      </c>
      <c r="E12" s="318"/>
      <c r="F12" s="318"/>
      <c r="G12" s="318"/>
      <c r="H12" s="319"/>
      <c r="M12" s="29"/>
      <c r="N12" s="29"/>
      <c r="P12" s="199"/>
      <c r="X12" s="200"/>
    </row>
    <row r="13" spans="1:24" x14ac:dyDescent="0.25">
      <c r="A13" s="55"/>
      <c r="B13" s="55"/>
      <c r="C13" s="55"/>
      <c r="D13" s="55"/>
      <c r="E13" s="55"/>
      <c r="F13" s="29"/>
      <c r="G13" s="29"/>
      <c r="H13" s="29"/>
      <c r="I13" s="29"/>
      <c r="J13" s="29"/>
      <c r="K13" s="29"/>
      <c r="L13" s="29"/>
      <c r="M13" s="29"/>
      <c r="N13" s="29"/>
      <c r="P13" s="199"/>
      <c r="X13" s="200"/>
    </row>
    <row r="14" spans="1:24" x14ac:dyDescent="0.25">
      <c r="A14" s="3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P14" s="199"/>
      <c r="X14" s="200"/>
    </row>
    <row r="15" spans="1:24" ht="19.5" x14ac:dyDescent="0.3">
      <c r="A15" s="35" t="s">
        <v>48</v>
      </c>
      <c r="P15" s="199"/>
      <c r="X15" s="200"/>
    </row>
    <row r="16" spans="1:24" x14ac:dyDescent="0.25">
      <c r="A16" s="31"/>
      <c r="B16" s="338" t="s">
        <v>154</v>
      </c>
      <c r="C16" s="307"/>
      <c r="D16" s="307"/>
      <c r="E16" s="307"/>
      <c r="F16" s="307"/>
      <c r="G16" s="307"/>
      <c r="H16" s="307"/>
      <c r="I16" s="339"/>
      <c r="J16" s="281"/>
      <c r="K16" s="340" t="s">
        <v>155</v>
      </c>
      <c r="L16" s="310"/>
      <c r="M16" s="310"/>
      <c r="N16" s="341"/>
      <c r="P16" s="199"/>
      <c r="X16" s="200"/>
    </row>
    <row r="17" spans="1:24" x14ac:dyDescent="0.25">
      <c r="A17" s="31"/>
      <c r="B17" s="342" t="s">
        <v>193</v>
      </c>
      <c r="C17" s="313"/>
      <c r="D17" s="313"/>
      <c r="E17" s="314"/>
      <c r="F17" s="315" t="s">
        <v>194</v>
      </c>
      <c r="G17" s="313"/>
      <c r="H17" s="313"/>
      <c r="I17" s="343"/>
      <c r="J17" s="281"/>
      <c r="K17" s="168" t="s">
        <v>135</v>
      </c>
      <c r="L17" s="98" t="s">
        <v>136</v>
      </c>
      <c r="M17" s="98" t="s">
        <v>137</v>
      </c>
      <c r="N17" s="169" t="s">
        <v>225</v>
      </c>
      <c r="P17" s="199"/>
      <c r="X17" s="200"/>
    </row>
    <row r="18" spans="1:24" s="53" customFormat="1" x14ac:dyDescent="0.25">
      <c r="A18" s="51"/>
      <c r="B18" s="162">
        <f>StartDate</f>
        <v>43831</v>
      </c>
      <c r="C18" s="52">
        <f>EDATE(B18,3)</f>
        <v>43922</v>
      </c>
      <c r="D18" s="52">
        <f t="shared" ref="D18" si="0">EDATE(C18,3)</f>
        <v>44013</v>
      </c>
      <c r="E18" s="52">
        <f t="shared" ref="E18" si="1">EDATE(D18,3)</f>
        <v>44105</v>
      </c>
      <c r="F18" s="52">
        <f t="shared" ref="F18" si="2">EDATE(E18,3)</f>
        <v>44197</v>
      </c>
      <c r="G18" s="52">
        <f t="shared" ref="G18" si="3">EDATE(F18,3)</f>
        <v>44287</v>
      </c>
      <c r="H18" s="52">
        <f t="shared" ref="H18" si="4">EDATE(G18,3)</f>
        <v>44378</v>
      </c>
      <c r="I18" s="163">
        <f t="shared" ref="I18" si="5">EDATE(H18,3)</f>
        <v>44470</v>
      </c>
      <c r="J18" s="281"/>
      <c r="K18" s="162">
        <f>EDATE(I18,3)</f>
        <v>44562</v>
      </c>
      <c r="L18" s="52">
        <f t="shared" ref="L18" si="6">EDATE(K18,12)</f>
        <v>44927</v>
      </c>
      <c r="M18" s="52">
        <f t="shared" ref="M18:N18" si="7">EDATE(L18,12)</f>
        <v>45292</v>
      </c>
      <c r="N18" s="170">
        <f t="shared" si="7"/>
        <v>45658</v>
      </c>
      <c r="P18" s="199"/>
      <c r="Q18"/>
      <c r="R18"/>
      <c r="S18"/>
      <c r="T18"/>
      <c r="U18"/>
      <c r="V18"/>
      <c r="W18"/>
      <c r="X18" s="200"/>
    </row>
    <row r="19" spans="1:24" s="53" customFormat="1" ht="15.75" thickBot="1" x14ac:dyDescent="0.3">
      <c r="A19" s="36" t="s">
        <v>192</v>
      </c>
      <c r="B19" s="250">
        <v>0</v>
      </c>
      <c r="C19" s="126">
        <v>0</v>
      </c>
      <c r="D19" s="126">
        <v>0</v>
      </c>
      <c r="E19" s="126">
        <v>0</v>
      </c>
      <c r="F19" s="126">
        <v>0</v>
      </c>
      <c r="G19" s="126">
        <v>0</v>
      </c>
      <c r="H19" s="126">
        <v>0</v>
      </c>
      <c r="I19" s="251">
        <v>0</v>
      </c>
      <c r="J19" s="281"/>
      <c r="K19" s="250">
        <v>0</v>
      </c>
      <c r="L19" s="126">
        <v>0</v>
      </c>
      <c r="M19" s="126">
        <v>0</v>
      </c>
      <c r="N19" s="251">
        <v>0</v>
      </c>
      <c r="P19" s="136"/>
      <c r="Q19" s="137"/>
      <c r="R19" s="137"/>
      <c r="S19" s="137"/>
      <c r="T19" s="137"/>
      <c r="U19" s="137"/>
      <c r="V19" s="137"/>
      <c r="W19" s="137"/>
      <c r="X19" s="138"/>
    </row>
    <row r="20" spans="1:24" ht="15.75" thickTop="1" x14ac:dyDescent="0.25">
      <c r="A20" s="36" t="str">
        <f t="shared" ref="A20:A26" si="8">A6</f>
        <v>Professional Services</v>
      </c>
      <c r="B20" s="164">
        <f t="shared" ref="B20:B26" si="9">$B6*(1+$C6)^(YEAR(B$18)-YEAR($B$18))/4</f>
        <v>5000</v>
      </c>
      <c r="C20" s="43">
        <f>$B6*(1+$C6)^(YEAR(C$18)-YEAR($B$18))/4</f>
        <v>5000</v>
      </c>
      <c r="D20" s="43">
        <f>$B6*(1+$C6)^(YEAR(D$18)-YEAR($B$18))/4</f>
        <v>5000</v>
      </c>
      <c r="E20" s="43">
        <f t="shared" ref="E20:I20" si="10">$B6*(1+$C6)^(YEAR(E$18)-YEAR($B$18))/4</f>
        <v>5000</v>
      </c>
      <c r="F20" s="43">
        <f t="shared" si="10"/>
        <v>5750</v>
      </c>
      <c r="G20" s="43">
        <f t="shared" si="10"/>
        <v>5750</v>
      </c>
      <c r="H20" s="43">
        <f t="shared" si="10"/>
        <v>5750</v>
      </c>
      <c r="I20" s="165">
        <f t="shared" si="10"/>
        <v>5750</v>
      </c>
      <c r="J20" s="281"/>
      <c r="K20" s="164">
        <f>$B6*(1+$C6)^(YEAR(K$18)-YEAR($B$18))</f>
        <v>26449.999999999996</v>
      </c>
      <c r="L20" s="43">
        <f t="shared" ref="L20:N20" si="11">$B6*(1+$C6)^(YEAR(L$18)-YEAR($B$18))</f>
        <v>30417.499999999989</v>
      </c>
      <c r="M20" s="43">
        <f t="shared" si="11"/>
        <v>34980.124999999985</v>
      </c>
      <c r="N20" s="165">
        <f t="shared" si="11"/>
        <v>40227.143749999988</v>
      </c>
      <c r="P20" s="258"/>
      <c r="Q20" s="259"/>
      <c r="R20" s="259"/>
      <c r="S20" s="259"/>
      <c r="T20" s="259"/>
      <c r="U20" s="259"/>
      <c r="V20" s="259"/>
      <c r="W20" s="259"/>
      <c r="X20" s="255"/>
    </row>
    <row r="21" spans="1:24" ht="17.25" x14ac:dyDescent="0.3">
      <c r="A21" s="36" t="str">
        <f t="shared" si="8"/>
        <v>Office</v>
      </c>
      <c r="B21" s="164">
        <f t="shared" si="9"/>
        <v>6250</v>
      </c>
      <c r="C21" s="43">
        <f t="shared" ref="C21:I21" si="12">$B7*(1+$C7)^(YEAR(C$18)-YEAR($B$18))/4</f>
        <v>6250</v>
      </c>
      <c r="D21" s="43">
        <f t="shared" si="12"/>
        <v>6250</v>
      </c>
      <c r="E21" s="43">
        <f t="shared" si="12"/>
        <v>6250</v>
      </c>
      <c r="F21" s="43">
        <f t="shared" si="12"/>
        <v>6875.0000000000009</v>
      </c>
      <c r="G21" s="43">
        <f t="shared" si="12"/>
        <v>6875.0000000000009</v>
      </c>
      <c r="H21" s="43">
        <f t="shared" si="12"/>
        <v>6875.0000000000009</v>
      </c>
      <c r="I21" s="165">
        <f t="shared" si="12"/>
        <v>6875.0000000000009</v>
      </c>
      <c r="J21" s="281"/>
      <c r="K21" s="164">
        <f t="shared" ref="K21:K26" si="13">$B7*(1+$C7)^(YEAR(K$18)-YEAR($B$18))</f>
        <v>30250.000000000004</v>
      </c>
      <c r="L21" s="43">
        <f t="shared" ref="L21:N26" si="14">$B7*(1+$C7)^(YEAR(L$18)-YEAR($B$18))</f>
        <v>33275.000000000007</v>
      </c>
      <c r="M21" s="43">
        <f t="shared" si="14"/>
        <v>36602.500000000007</v>
      </c>
      <c r="N21" s="165">
        <f t="shared" si="14"/>
        <v>40262.750000000015</v>
      </c>
      <c r="P21" s="199"/>
      <c r="Q21" s="253" t="s">
        <v>199</v>
      </c>
      <c r="X21" s="200"/>
    </row>
    <row r="22" spans="1:24" x14ac:dyDescent="0.25">
      <c r="A22" s="36" t="str">
        <f t="shared" si="8"/>
        <v>R&amp;D Expenses</v>
      </c>
      <c r="B22" s="164">
        <f t="shared" si="9"/>
        <v>22500</v>
      </c>
      <c r="C22" s="43">
        <f t="shared" ref="C22:I26" si="15">$B8*(1+$C8)^(YEAR(C$18)-YEAR($B$18))/4</f>
        <v>22500</v>
      </c>
      <c r="D22" s="43">
        <f t="shared" si="15"/>
        <v>22500</v>
      </c>
      <c r="E22" s="43">
        <f t="shared" si="15"/>
        <v>22500</v>
      </c>
      <c r="F22" s="43">
        <f t="shared" si="15"/>
        <v>40500</v>
      </c>
      <c r="G22" s="43">
        <f t="shared" si="15"/>
        <v>40500</v>
      </c>
      <c r="H22" s="43">
        <f t="shared" si="15"/>
        <v>40500</v>
      </c>
      <c r="I22" s="165">
        <f t="shared" si="15"/>
        <v>40500</v>
      </c>
      <c r="J22" s="281"/>
      <c r="K22" s="164">
        <f t="shared" si="13"/>
        <v>291600</v>
      </c>
      <c r="L22" s="43">
        <f t="shared" si="14"/>
        <v>524880.00000000012</v>
      </c>
      <c r="M22" s="43">
        <f t="shared" si="14"/>
        <v>944784.00000000023</v>
      </c>
      <c r="N22" s="165">
        <f t="shared" si="14"/>
        <v>1700611.2000000004</v>
      </c>
      <c r="P22" s="199"/>
      <c r="X22" s="200"/>
    </row>
    <row r="23" spans="1:24" x14ac:dyDescent="0.25">
      <c r="A23" s="36" t="str">
        <f t="shared" si="8"/>
        <v>Sales and Marketing</v>
      </c>
      <c r="B23" s="164">
        <f t="shared" si="9"/>
        <v>7500</v>
      </c>
      <c r="C23" s="43">
        <f t="shared" si="15"/>
        <v>7500</v>
      </c>
      <c r="D23" s="43">
        <f t="shared" si="15"/>
        <v>7500</v>
      </c>
      <c r="E23" s="43">
        <f t="shared" si="15"/>
        <v>7500</v>
      </c>
      <c r="F23" s="43">
        <f t="shared" si="15"/>
        <v>13500</v>
      </c>
      <c r="G23" s="43">
        <f t="shared" si="15"/>
        <v>13500</v>
      </c>
      <c r="H23" s="43">
        <f t="shared" si="15"/>
        <v>13500</v>
      </c>
      <c r="I23" s="165">
        <f t="shared" si="15"/>
        <v>13500</v>
      </c>
      <c r="J23" s="281"/>
      <c r="K23" s="164">
        <f t="shared" si="13"/>
        <v>97200</v>
      </c>
      <c r="L23" s="43">
        <f t="shared" si="14"/>
        <v>174960.00000000003</v>
      </c>
      <c r="M23" s="43">
        <f t="shared" si="14"/>
        <v>314928.00000000006</v>
      </c>
      <c r="N23" s="165">
        <f t="shared" si="14"/>
        <v>566870.40000000014</v>
      </c>
      <c r="P23" s="199"/>
      <c r="R23" s="309" t="s">
        <v>200</v>
      </c>
      <c r="S23" s="310"/>
      <c r="T23" s="310"/>
      <c r="U23" s="310"/>
      <c r="V23" s="310"/>
      <c r="W23" s="311"/>
      <c r="X23" s="200"/>
    </row>
    <row r="24" spans="1:24" x14ac:dyDescent="0.25">
      <c r="A24" s="36" t="str">
        <f t="shared" si="8"/>
        <v>Travel</v>
      </c>
      <c r="B24" s="164">
        <f t="shared" si="9"/>
        <v>5000</v>
      </c>
      <c r="C24" s="43">
        <f t="shared" si="15"/>
        <v>5000</v>
      </c>
      <c r="D24" s="43">
        <f t="shared" si="15"/>
        <v>5000</v>
      </c>
      <c r="E24" s="43">
        <f t="shared" si="15"/>
        <v>5000</v>
      </c>
      <c r="F24" s="43">
        <f t="shared" si="15"/>
        <v>6000</v>
      </c>
      <c r="G24" s="43">
        <f t="shared" si="15"/>
        <v>6000</v>
      </c>
      <c r="H24" s="43">
        <f t="shared" si="15"/>
        <v>6000</v>
      </c>
      <c r="I24" s="165">
        <f t="shared" si="15"/>
        <v>6000</v>
      </c>
      <c r="J24" s="281"/>
      <c r="K24" s="164">
        <f t="shared" si="13"/>
        <v>28800</v>
      </c>
      <c r="L24" s="43">
        <f t="shared" si="14"/>
        <v>34560</v>
      </c>
      <c r="M24" s="43">
        <f t="shared" si="14"/>
        <v>41472</v>
      </c>
      <c r="N24" s="165">
        <f t="shared" si="14"/>
        <v>49766.399999999994</v>
      </c>
      <c r="P24" s="199"/>
      <c r="R24" s="97" t="s">
        <v>193</v>
      </c>
      <c r="S24" s="98" t="s">
        <v>194</v>
      </c>
      <c r="T24" s="98" t="s">
        <v>135</v>
      </c>
      <c r="U24" s="98" t="s">
        <v>136</v>
      </c>
      <c r="V24" s="98" t="s">
        <v>137</v>
      </c>
      <c r="W24" s="99" t="s">
        <v>225</v>
      </c>
      <c r="X24" s="200"/>
    </row>
    <row r="25" spans="1:24" x14ac:dyDescent="0.25">
      <c r="A25" s="36" t="str">
        <f t="shared" si="8"/>
        <v>Administrative</v>
      </c>
      <c r="B25" s="164">
        <f t="shared" si="9"/>
        <v>1250</v>
      </c>
      <c r="C25" s="43">
        <f t="shared" si="15"/>
        <v>1250</v>
      </c>
      <c r="D25" s="43">
        <f t="shared" si="15"/>
        <v>1250</v>
      </c>
      <c r="E25" s="43">
        <f t="shared" si="15"/>
        <v>1250</v>
      </c>
      <c r="F25" s="43">
        <f t="shared" si="15"/>
        <v>1375</v>
      </c>
      <c r="G25" s="43">
        <f t="shared" si="15"/>
        <v>1375</v>
      </c>
      <c r="H25" s="43">
        <f t="shared" si="15"/>
        <v>1375</v>
      </c>
      <c r="I25" s="165">
        <f t="shared" si="15"/>
        <v>1375</v>
      </c>
      <c r="J25" s="281"/>
      <c r="K25" s="164">
        <f t="shared" si="13"/>
        <v>6050.0000000000009</v>
      </c>
      <c r="L25" s="43">
        <f t="shared" si="14"/>
        <v>6655.0000000000018</v>
      </c>
      <c r="M25" s="43">
        <f t="shared" si="14"/>
        <v>7320.5000000000018</v>
      </c>
      <c r="N25" s="165">
        <f t="shared" si="14"/>
        <v>8052.5500000000029</v>
      </c>
      <c r="P25" s="199"/>
      <c r="R25" s="93">
        <f>B18</f>
        <v>43831</v>
      </c>
      <c r="S25" s="52">
        <f>F18</f>
        <v>44197</v>
      </c>
      <c r="T25" s="52">
        <f>K18</f>
        <v>44562</v>
      </c>
      <c r="U25" s="52">
        <f t="shared" ref="U25:W25" si="16">L18</f>
        <v>44927</v>
      </c>
      <c r="V25" s="52">
        <f t="shared" si="16"/>
        <v>45292</v>
      </c>
      <c r="W25" s="96">
        <f t="shared" si="16"/>
        <v>45658</v>
      </c>
      <c r="X25" s="200"/>
    </row>
    <row r="26" spans="1:24" ht="15.75" thickBot="1" x14ac:dyDescent="0.3">
      <c r="A26" s="37" t="str">
        <f t="shared" si="8"/>
        <v>Other costs</v>
      </c>
      <c r="B26" s="166">
        <f t="shared" si="9"/>
        <v>1750</v>
      </c>
      <c r="C26" s="44">
        <f t="shared" si="15"/>
        <v>1750</v>
      </c>
      <c r="D26" s="44">
        <f t="shared" si="15"/>
        <v>1750</v>
      </c>
      <c r="E26" s="44">
        <f t="shared" si="15"/>
        <v>1750</v>
      </c>
      <c r="F26" s="44">
        <f t="shared" si="15"/>
        <v>1925.0000000000002</v>
      </c>
      <c r="G26" s="44">
        <f t="shared" si="15"/>
        <v>1925.0000000000002</v>
      </c>
      <c r="H26" s="44">
        <f t="shared" si="15"/>
        <v>1925.0000000000002</v>
      </c>
      <c r="I26" s="167">
        <f t="shared" si="15"/>
        <v>1925.0000000000002</v>
      </c>
      <c r="J26" s="281"/>
      <c r="K26" s="164">
        <f t="shared" si="13"/>
        <v>8470.0000000000018</v>
      </c>
      <c r="L26" s="44">
        <f t="shared" si="14"/>
        <v>9317.0000000000036</v>
      </c>
      <c r="M26" s="44">
        <f t="shared" si="14"/>
        <v>10248.700000000003</v>
      </c>
      <c r="N26" s="167">
        <f t="shared" si="14"/>
        <v>11273.570000000003</v>
      </c>
      <c r="P26" s="199"/>
      <c r="Q26" s="36" t="str">
        <f t="shared" ref="Q26:Q34" si="17">A19</f>
        <v>Initial Startup costs</v>
      </c>
      <c r="R26" s="94">
        <f>SUM(B19:E19)</f>
        <v>0</v>
      </c>
      <c r="S26" s="87">
        <f>SUM(F19:I19)</f>
        <v>0</v>
      </c>
      <c r="T26" s="87">
        <f>K19</f>
        <v>0</v>
      </c>
      <c r="U26" s="87">
        <f t="shared" ref="U26:W26" si="18">L19</f>
        <v>0</v>
      </c>
      <c r="V26" s="87">
        <f t="shared" si="18"/>
        <v>0</v>
      </c>
      <c r="W26" s="90">
        <f t="shared" si="18"/>
        <v>0</v>
      </c>
      <c r="X26" s="200"/>
    </row>
    <row r="27" spans="1:24" s="26" customFormat="1" ht="15.75" thickTop="1" x14ac:dyDescent="0.25">
      <c r="A27" s="38" t="s">
        <v>15</v>
      </c>
      <c r="B27" s="171">
        <f>SUM(B19:B26)</f>
        <v>49250</v>
      </c>
      <c r="C27" s="172">
        <f t="shared" ref="C27:N27" si="19">SUM(C19:C26)</f>
        <v>49250</v>
      </c>
      <c r="D27" s="172">
        <f t="shared" si="19"/>
        <v>49250</v>
      </c>
      <c r="E27" s="172">
        <f t="shared" si="19"/>
        <v>49250</v>
      </c>
      <c r="F27" s="172">
        <f t="shared" si="19"/>
        <v>75925</v>
      </c>
      <c r="G27" s="172">
        <f t="shared" si="19"/>
        <v>75925</v>
      </c>
      <c r="H27" s="172">
        <f t="shared" si="19"/>
        <v>75925</v>
      </c>
      <c r="I27" s="173">
        <f t="shared" si="19"/>
        <v>75925</v>
      </c>
      <c r="J27" s="281"/>
      <c r="K27" s="171">
        <f t="shared" si="19"/>
        <v>488820</v>
      </c>
      <c r="L27" s="172">
        <f t="shared" si="19"/>
        <v>814064.50000000012</v>
      </c>
      <c r="M27" s="172">
        <f t="shared" si="19"/>
        <v>1390335.8250000002</v>
      </c>
      <c r="N27" s="173">
        <f t="shared" si="19"/>
        <v>2417064.0137499999</v>
      </c>
      <c r="P27" s="199"/>
      <c r="Q27" s="36" t="str">
        <f t="shared" si="17"/>
        <v>Professional Services</v>
      </c>
      <c r="R27" s="94">
        <f t="shared" ref="R27:R33" si="20">SUM(B20:E20)</f>
        <v>20000</v>
      </c>
      <c r="S27" s="87">
        <f t="shared" ref="S27:S33" si="21">SUM(F20:I20)</f>
        <v>23000</v>
      </c>
      <c r="T27" s="87">
        <f t="shared" ref="T27:T33" si="22">K20</f>
        <v>26449.999999999996</v>
      </c>
      <c r="U27" s="87">
        <f t="shared" ref="U27:U33" si="23">L20</f>
        <v>30417.499999999989</v>
      </c>
      <c r="V27" s="87">
        <f t="shared" ref="V27:V33" si="24">M20</f>
        <v>34980.124999999985</v>
      </c>
      <c r="W27" s="90">
        <f t="shared" ref="W27:W33" si="25">N20</f>
        <v>40227.143749999988</v>
      </c>
      <c r="X27" s="200"/>
    </row>
    <row r="28" spans="1:24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P28" s="199"/>
      <c r="Q28" s="36" t="str">
        <f t="shared" si="17"/>
        <v>Office</v>
      </c>
      <c r="R28" s="94">
        <f t="shared" si="20"/>
        <v>25000</v>
      </c>
      <c r="S28" s="87">
        <f t="shared" si="21"/>
        <v>27500.000000000004</v>
      </c>
      <c r="T28" s="87">
        <f t="shared" si="22"/>
        <v>30250.000000000004</v>
      </c>
      <c r="U28" s="87">
        <f t="shared" si="23"/>
        <v>33275.000000000007</v>
      </c>
      <c r="V28" s="87">
        <f t="shared" si="24"/>
        <v>36602.500000000007</v>
      </c>
      <c r="W28" s="90">
        <f t="shared" si="25"/>
        <v>40262.750000000015</v>
      </c>
      <c r="X28" s="200"/>
    </row>
    <row r="29" spans="1:24" x14ac:dyDescent="0.25">
      <c r="P29" s="199"/>
      <c r="Q29" s="36" t="str">
        <f t="shared" si="17"/>
        <v>R&amp;D Expenses</v>
      </c>
      <c r="R29" s="94">
        <f t="shared" si="20"/>
        <v>90000</v>
      </c>
      <c r="S29" s="87">
        <f t="shared" si="21"/>
        <v>162000</v>
      </c>
      <c r="T29" s="87">
        <f t="shared" si="22"/>
        <v>291600</v>
      </c>
      <c r="U29" s="87">
        <f t="shared" si="23"/>
        <v>524880.00000000012</v>
      </c>
      <c r="V29" s="87">
        <f t="shared" si="24"/>
        <v>944784.00000000023</v>
      </c>
      <c r="W29" s="90">
        <f t="shared" si="25"/>
        <v>1700611.2000000004</v>
      </c>
      <c r="X29" s="200"/>
    </row>
    <row r="30" spans="1:24" ht="19.5" x14ac:dyDescent="0.3">
      <c r="A30" s="35" t="s">
        <v>75</v>
      </c>
      <c r="P30" s="199"/>
      <c r="Q30" s="36" t="str">
        <f t="shared" si="17"/>
        <v>Sales and Marketing</v>
      </c>
      <c r="R30" s="94">
        <f t="shared" si="20"/>
        <v>30000</v>
      </c>
      <c r="S30" s="87">
        <f t="shared" si="21"/>
        <v>54000</v>
      </c>
      <c r="T30" s="87">
        <f t="shared" si="22"/>
        <v>97200</v>
      </c>
      <c r="U30" s="87">
        <f t="shared" si="23"/>
        <v>174960.00000000003</v>
      </c>
      <c r="V30" s="87">
        <f t="shared" si="24"/>
        <v>314928.00000000006</v>
      </c>
      <c r="W30" s="90">
        <f t="shared" si="25"/>
        <v>566870.40000000014</v>
      </c>
      <c r="X30" s="200"/>
    </row>
    <row r="31" spans="1:24" x14ac:dyDescent="0.25">
      <c r="A31" s="56" t="s">
        <v>76</v>
      </c>
      <c r="B31" s="189">
        <v>0.25</v>
      </c>
      <c r="C31" s="344" t="s">
        <v>275</v>
      </c>
      <c r="D31" s="345"/>
      <c r="E31" s="345"/>
      <c r="F31" s="345"/>
      <c r="G31" s="345"/>
      <c r="H31" s="345"/>
      <c r="P31" s="199"/>
      <c r="Q31" s="36" t="str">
        <f t="shared" si="17"/>
        <v>Travel</v>
      </c>
      <c r="R31" s="94">
        <f t="shared" si="20"/>
        <v>20000</v>
      </c>
      <c r="S31" s="87">
        <f t="shared" si="21"/>
        <v>24000</v>
      </c>
      <c r="T31" s="87">
        <f t="shared" si="22"/>
        <v>28800</v>
      </c>
      <c r="U31" s="87">
        <f t="shared" si="23"/>
        <v>34560</v>
      </c>
      <c r="V31" s="87">
        <f t="shared" si="24"/>
        <v>41472</v>
      </c>
      <c r="W31" s="90">
        <f t="shared" si="25"/>
        <v>49766.399999999994</v>
      </c>
      <c r="X31" s="200"/>
    </row>
    <row r="32" spans="1:24" x14ac:dyDescent="0.25">
      <c r="A32" s="56" t="s">
        <v>119</v>
      </c>
      <c r="B32" s="82">
        <v>100000</v>
      </c>
      <c r="C32" t="s">
        <v>122</v>
      </c>
      <c r="P32" s="199"/>
      <c r="Q32" s="36" t="str">
        <f t="shared" si="17"/>
        <v>Administrative</v>
      </c>
      <c r="R32" s="94">
        <f t="shared" si="20"/>
        <v>5000</v>
      </c>
      <c r="S32" s="87">
        <f t="shared" si="21"/>
        <v>5500</v>
      </c>
      <c r="T32" s="87">
        <f t="shared" si="22"/>
        <v>6050.0000000000009</v>
      </c>
      <c r="U32" s="87">
        <f t="shared" si="23"/>
        <v>6655.0000000000018</v>
      </c>
      <c r="V32" s="87">
        <f t="shared" si="24"/>
        <v>7320.5000000000018</v>
      </c>
      <c r="W32" s="90">
        <f t="shared" si="25"/>
        <v>8052.5500000000029</v>
      </c>
      <c r="X32" s="200"/>
    </row>
    <row r="33" spans="16:24" ht="15.75" thickBot="1" x14ac:dyDescent="0.3">
      <c r="P33" s="199"/>
      <c r="Q33" s="36" t="str">
        <f t="shared" si="17"/>
        <v>Other costs</v>
      </c>
      <c r="R33" s="95">
        <f t="shared" si="20"/>
        <v>7000</v>
      </c>
      <c r="S33" s="88">
        <f t="shared" si="21"/>
        <v>7700.0000000000009</v>
      </c>
      <c r="T33" s="88">
        <f t="shared" si="22"/>
        <v>8470.0000000000018</v>
      </c>
      <c r="U33" s="88">
        <f t="shared" si="23"/>
        <v>9317.0000000000036</v>
      </c>
      <c r="V33" s="88">
        <f t="shared" si="24"/>
        <v>10248.700000000003</v>
      </c>
      <c r="W33" s="91">
        <f t="shared" si="25"/>
        <v>11273.570000000003</v>
      </c>
      <c r="X33" s="200"/>
    </row>
    <row r="34" spans="16:24" ht="15.75" thickTop="1" x14ac:dyDescent="0.25">
      <c r="P34" s="199"/>
      <c r="Q34" s="36" t="str">
        <f t="shared" si="17"/>
        <v xml:space="preserve">Total </v>
      </c>
      <c r="R34" s="74">
        <f>SUM(R26:R33)</f>
        <v>197000</v>
      </c>
      <c r="S34" s="74">
        <f t="shared" ref="S34:W34" si="26">SUM(S26:S33)</f>
        <v>303700</v>
      </c>
      <c r="T34" s="74">
        <f t="shared" si="26"/>
        <v>488820</v>
      </c>
      <c r="U34" s="74">
        <f t="shared" si="26"/>
        <v>814064.50000000012</v>
      </c>
      <c r="V34" s="74">
        <f t="shared" si="26"/>
        <v>1390335.8250000002</v>
      </c>
      <c r="W34" s="119">
        <f t="shared" si="26"/>
        <v>2417064.0137499999</v>
      </c>
      <c r="X34" s="200"/>
    </row>
    <row r="35" spans="16:24" x14ac:dyDescent="0.25">
      <c r="P35" s="199"/>
      <c r="X35" s="200"/>
    </row>
    <row r="36" spans="16:24" x14ac:dyDescent="0.25">
      <c r="P36" s="199"/>
      <c r="X36" s="200"/>
    </row>
    <row r="37" spans="16:24" x14ac:dyDescent="0.25">
      <c r="P37" s="199"/>
      <c r="X37" s="200"/>
    </row>
    <row r="38" spans="16:24" x14ac:dyDescent="0.25">
      <c r="P38" s="199"/>
      <c r="X38" s="200"/>
    </row>
    <row r="39" spans="16:24" x14ac:dyDescent="0.25">
      <c r="P39" s="199"/>
      <c r="X39" s="200"/>
    </row>
    <row r="40" spans="16:24" x14ac:dyDescent="0.25">
      <c r="P40" s="199"/>
      <c r="X40" s="200"/>
    </row>
    <row r="41" spans="16:24" x14ac:dyDescent="0.25">
      <c r="P41" s="199"/>
      <c r="X41" s="200"/>
    </row>
    <row r="42" spans="16:24" x14ac:dyDescent="0.25">
      <c r="P42" s="199"/>
      <c r="X42" s="200"/>
    </row>
    <row r="43" spans="16:24" x14ac:dyDescent="0.25">
      <c r="P43" s="199"/>
      <c r="X43" s="200"/>
    </row>
    <row r="44" spans="16:24" x14ac:dyDescent="0.25">
      <c r="P44" s="199"/>
      <c r="X44" s="200"/>
    </row>
    <row r="45" spans="16:24" x14ac:dyDescent="0.25">
      <c r="P45" s="199"/>
      <c r="X45" s="200"/>
    </row>
    <row r="46" spans="16:24" x14ac:dyDescent="0.25">
      <c r="P46" s="199"/>
      <c r="X46" s="200"/>
    </row>
    <row r="47" spans="16:24" x14ac:dyDescent="0.25">
      <c r="P47" s="199"/>
      <c r="X47" s="200"/>
    </row>
    <row r="48" spans="16:24" x14ac:dyDescent="0.25">
      <c r="P48" s="199"/>
      <c r="X48" s="200"/>
    </row>
    <row r="49" spans="16:24" x14ac:dyDescent="0.25">
      <c r="P49" s="199"/>
      <c r="X49" s="200"/>
    </row>
    <row r="50" spans="16:24" x14ac:dyDescent="0.25">
      <c r="P50" s="199"/>
      <c r="X50" s="200"/>
    </row>
    <row r="51" spans="16:24" x14ac:dyDescent="0.25">
      <c r="P51" s="199"/>
      <c r="X51" s="200"/>
    </row>
    <row r="52" spans="16:24" x14ac:dyDescent="0.25">
      <c r="P52" s="199"/>
      <c r="X52" s="200"/>
    </row>
    <row r="53" spans="16:24" x14ac:dyDescent="0.25">
      <c r="P53" s="199"/>
      <c r="X53" s="200"/>
    </row>
    <row r="54" spans="16:24" x14ac:dyDescent="0.25">
      <c r="P54" s="199"/>
      <c r="X54" s="200"/>
    </row>
    <row r="55" spans="16:24" x14ac:dyDescent="0.25">
      <c r="P55" s="199"/>
      <c r="X55" s="200"/>
    </row>
    <row r="56" spans="16:24" ht="15.75" thickBot="1" x14ac:dyDescent="0.3">
      <c r="P56" s="136"/>
      <c r="Q56" s="137"/>
      <c r="R56" s="137"/>
      <c r="S56" s="137"/>
      <c r="T56" s="137"/>
      <c r="U56" s="137"/>
      <c r="V56" s="137"/>
      <c r="W56" s="137"/>
      <c r="X56" s="138"/>
    </row>
    <row r="57" spans="16:24" ht="15.75" thickTop="1" x14ac:dyDescent="0.25"/>
  </sheetData>
  <mergeCells count="14">
    <mergeCell ref="C31:H31"/>
    <mergeCell ref="D10:H10"/>
    <mergeCell ref="D11:H11"/>
    <mergeCell ref="D12:H12"/>
    <mergeCell ref="D5:H5"/>
    <mergeCell ref="D6:H6"/>
    <mergeCell ref="D7:H7"/>
    <mergeCell ref="D8:H8"/>
    <mergeCell ref="D9:H9"/>
    <mergeCell ref="R23:W23"/>
    <mergeCell ref="B16:I16"/>
    <mergeCell ref="K16:N16"/>
    <mergeCell ref="B17:E17"/>
    <mergeCell ref="F17:I17"/>
  </mergeCells>
  <pageMargins left="0.25" right="0.25" top="0.75" bottom="0.75" header="0.3" footer="0.3"/>
  <pageSetup paperSize="5" scale="5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9" tint="0.59999389629810485"/>
    <pageSetUpPr fitToPage="1"/>
  </sheetPr>
  <dimension ref="A1:AF73"/>
  <sheetViews>
    <sheetView topLeftCell="J40" workbookViewId="0">
      <selection activeCell="L7" sqref="L7"/>
    </sheetView>
  </sheetViews>
  <sheetFormatPr defaultColWidth="8.85546875" defaultRowHeight="15" x14ac:dyDescent="0.25"/>
  <cols>
    <col min="1" max="1" width="20.140625" customWidth="1"/>
    <col min="2" max="9" width="11.85546875" customWidth="1"/>
    <col min="10" max="10" width="9.42578125" customWidth="1"/>
    <col min="11" max="14" width="11.85546875" customWidth="1"/>
    <col min="15" max="15" width="10" customWidth="1"/>
    <col min="16" max="16" width="3.85546875" customWidth="1"/>
    <col min="17" max="17" width="21.42578125" customWidth="1"/>
    <col min="18" max="23" width="13" customWidth="1"/>
    <col min="24" max="25" width="3.85546875" customWidth="1"/>
    <col min="26" max="31" width="13" customWidth="1"/>
    <col min="32" max="32" width="3.85546875" customWidth="1"/>
  </cols>
  <sheetData>
    <row r="1" spans="1:32" ht="24.75" thickTop="1" thickBot="1" x14ac:dyDescent="0.4">
      <c r="A1" s="33" t="s">
        <v>241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33" t="str">
        <f>CompanyName &amp;" Projected Capital Expenditure Annualised"</f>
        <v>WorkHorse Inc. Projected Capital Expenditure Annualised</v>
      </c>
      <c r="R1" s="261"/>
      <c r="S1" s="261"/>
      <c r="T1" s="261"/>
      <c r="U1" s="261"/>
      <c r="V1" s="261"/>
      <c r="W1" s="261"/>
      <c r="X1" s="263"/>
      <c r="Y1" s="262"/>
      <c r="Z1" s="33" t="str">
        <f>CompanyName &amp;" Projected Capital Expenditure Charts"</f>
        <v>WorkHorse Inc. Projected Capital Expenditure Charts</v>
      </c>
      <c r="AA1" s="261"/>
      <c r="AB1" s="261"/>
      <c r="AC1" s="261"/>
      <c r="AD1" s="261"/>
      <c r="AE1" s="261"/>
      <c r="AF1" s="263"/>
    </row>
    <row r="2" spans="1:32" ht="15.75" thickTop="1" x14ac:dyDescent="0.25">
      <c r="A2" s="31" t="str">
        <f>"Capital Expenditure ("&amp;SubHeader&amp;")"</f>
        <v>Capital Expenditure (USD)</v>
      </c>
      <c r="C2" s="28"/>
      <c r="D2" s="28"/>
      <c r="P2" s="199"/>
      <c r="X2" s="200"/>
      <c r="Y2" s="199"/>
      <c r="AF2" s="200"/>
    </row>
    <row r="3" spans="1:32" ht="17.25" x14ac:dyDescent="0.3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/>
      <c r="X3" s="200"/>
      <c r="Y3" s="199"/>
      <c r="Z3" s="253"/>
      <c r="AF3" s="200"/>
    </row>
    <row r="4" spans="1:32" ht="19.5" x14ac:dyDescent="0.3">
      <c r="A4" s="32" t="s">
        <v>69</v>
      </c>
      <c r="B4" s="25"/>
      <c r="C4" s="29"/>
      <c r="D4" s="29"/>
      <c r="E4" s="29"/>
      <c r="F4" s="29"/>
      <c r="G4" s="30"/>
      <c r="H4" s="30"/>
      <c r="I4" s="30"/>
      <c r="J4" s="30"/>
      <c r="K4" s="30"/>
      <c r="L4" s="30"/>
      <c r="M4" s="30"/>
      <c r="N4" s="30"/>
      <c r="P4" s="199"/>
      <c r="X4" s="200"/>
      <c r="Y4" s="199"/>
      <c r="AF4" s="200"/>
    </row>
    <row r="5" spans="1:32" s="39" customFormat="1" ht="47.25" x14ac:dyDescent="0.25">
      <c r="B5" s="64" t="s">
        <v>42</v>
      </c>
      <c r="C5" s="64" t="s">
        <v>71</v>
      </c>
      <c r="D5" s="64" t="s">
        <v>72</v>
      </c>
      <c r="E5" s="65" t="s">
        <v>70</v>
      </c>
      <c r="F5" s="347" t="s">
        <v>22</v>
      </c>
      <c r="G5" s="347"/>
      <c r="H5" s="348"/>
      <c r="P5" s="256"/>
      <c r="X5" s="257"/>
      <c r="Y5" s="256"/>
      <c r="AF5" s="257"/>
    </row>
    <row r="6" spans="1:32" ht="15.75" x14ac:dyDescent="0.25">
      <c r="A6" s="176" t="s">
        <v>276</v>
      </c>
      <c r="B6" s="126">
        <v>6000</v>
      </c>
      <c r="C6" s="177">
        <v>44075</v>
      </c>
      <c r="D6" s="178">
        <v>7</v>
      </c>
      <c r="E6" s="179"/>
      <c r="F6" s="321"/>
      <c r="G6" s="321"/>
      <c r="H6" s="322"/>
      <c r="K6" s="39"/>
      <c r="L6" s="39"/>
      <c r="M6" s="39"/>
      <c r="N6" s="39"/>
      <c r="O6" s="39"/>
      <c r="P6" s="199"/>
      <c r="X6" s="200"/>
      <c r="Y6" s="199"/>
      <c r="AF6" s="200"/>
    </row>
    <row r="7" spans="1:32" ht="15.75" x14ac:dyDescent="0.25">
      <c r="A7" s="180" t="s">
        <v>277</v>
      </c>
      <c r="B7" s="126">
        <v>20000</v>
      </c>
      <c r="C7" s="177">
        <v>44136</v>
      </c>
      <c r="D7" s="178">
        <v>6</v>
      </c>
      <c r="E7" s="179">
        <v>5000</v>
      </c>
      <c r="F7" s="321"/>
      <c r="G7" s="321"/>
      <c r="H7" s="322"/>
      <c r="K7" s="39"/>
      <c r="L7" s="39"/>
      <c r="M7" s="39"/>
      <c r="N7" s="39"/>
      <c r="O7" s="39"/>
      <c r="P7" s="199"/>
      <c r="X7" s="200"/>
      <c r="Y7" s="199"/>
      <c r="AF7" s="200"/>
    </row>
    <row r="8" spans="1:32" ht="15.75" x14ac:dyDescent="0.25">
      <c r="A8" s="180" t="s">
        <v>278</v>
      </c>
      <c r="B8" s="126">
        <v>3000</v>
      </c>
      <c r="C8" s="177">
        <v>44136</v>
      </c>
      <c r="D8" s="178">
        <v>5</v>
      </c>
      <c r="E8" s="179"/>
      <c r="F8" s="321"/>
      <c r="G8" s="321"/>
      <c r="H8" s="322"/>
      <c r="K8" s="39"/>
      <c r="L8" s="39"/>
      <c r="M8" s="39"/>
      <c r="N8" s="39"/>
      <c r="O8" s="39"/>
      <c r="P8" s="199"/>
      <c r="X8" s="200"/>
      <c r="Y8" s="199"/>
      <c r="AF8" s="200"/>
    </row>
    <row r="9" spans="1:32" ht="15.75" x14ac:dyDescent="0.25">
      <c r="A9" s="180" t="s">
        <v>279</v>
      </c>
      <c r="B9" s="126">
        <v>35000</v>
      </c>
      <c r="C9" s="177">
        <v>44348</v>
      </c>
      <c r="D9" s="178">
        <v>5</v>
      </c>
      <c r="E9" s="179">
        <v>5000</v>
      </c>
      <c r="F9" s="321"/>
      <c r="G9" s="321"/>
      <c r="H9" s="322"/>
      <c r="K9" s="39"/>
      <c r="L9" s="39"/>
      <c r="M9" s="39"/>
      <c r="N9" s="39"/>
      <c r="O9" s="39"/>
      <c r="P9" s="199"/>
      <c r="X9" s="200"/>
      <c r="Y9" s="199"/>
      <c r="AF9" s="200"/>
    </row>
    <row r="10" spans="1:32" ht="15.75" x14ac:dyDescent="0.25">
      <c r="A10" s="180" t="s">
        <v>280</v>
      </c>
      <c r="B10" s="126">
        <v>55000</v>
      </c>
      <c r="C10" s="177">
        <v>44378</v>
      </c>
      <c r="D10" s="178">
        <v>6</v>
      </c>
      <c r="E10" s="179">
        <v>13000</v>
      </c>
      <c r="F10" s="321"/>
      <c r="G10" s="321"/>
      <c r="H10" s="322"/>
      <c r="K10" s="39"/>
      <c r="L10" s="39"/>
      <c r="M10" s="39"/>
      <c r="N10" s="39"/>
      <c r="O10" s="39"/>
      <c r="P10" s="199"/>
      <c r="X10" s="200"/>
      <c r="Y10" s="199"/>
      <c r="AF10" s="200"/>
    </row>
    <row r="11" spans="1:32" ht="15.75" x14ac:dyDescent="0.25">
      <c r="A11" s="180" t="s">
        <v>278</v>
      </c>
      <c r="B11" s="269">
        <v>8000</v>
      </c>
      <c r="C11" s="177">
        <v>44409</v>
      </c>
      <c r="D11" s="178">
        <v>5</v>
      </c>
      <c r="E11" s="179"/>
      <c r="F11" s="321"/>
      <c r="G11" s="321"/>
      <c r="H11" s="322"/>
      <c r="K11" s="39"/>
      <c r="L11" s="39"/>
      <c r="M11" s="39"/>
      <c r="N11" s="39"/>
      <c r="O11" s="39"/>
      <c r="P11" s="199"/>
      <c r="X11" s="200"/>
      <c r="Y11" s="199"/>
      <c r="AF11" s="200"/>
    </row>
    <row r="12" spans="1:32" ht="15.75" x14ac:dyDescent="0.25">
      <c r="A12" s="180" t="s">
        <v>281</v>
      </c>
      <c r="B12" s="126">
        <v>3000</v>
      </c>
      <c r="C12" s="177">
        <v>44652</v>
      </c>
      <c r="D12" s="178">
        <v>5</v>
      </c>
      <c r="E12" s="179"/>
      <c r="F12" s="321"/>
      <c r="G12" s="321"/>
      <c r="H12" s="322"/>
      <c r="K12" s="39"/>
      <c r="L12" s="39"/>
      <c r="M12" s="39"/>
      <c r="N12" s="39"/>
      <c r="O12" s="39"/>
      <c r="P12" s="199"/>
      <c r="X12" s="200"/>
      <c r="Y12" s="199"/>
      <c r="AF12" s="200"/>
    </row>
    <row r="13" spans="1:32" ht="15.75" x14ac:dyDescent="0.25">
      <c r="A13" s="180" t="s">
        <v>282</v>
      </c>
      <c r="B13" s="269">
        <v>15000</v>
      </c>
      <c r="C13" s="177">
        <v>45017</v>
      </c>
      <c r="D13" s="178">
        <v>7</v>
      </c>
      <c r="E13" s="179"/>
      <c r="F13" s="321"/>
      <c r="G13" s="321"/>
      <c r="H13" s="322"/>
      <c r="K13" s="39"/>
      <c r="L13" s="39"/>
      <c r="M13" s="39"/>
      <c r="N13" s="39"/>
      <c r="O13" s="39"/>
      <c r="P13" s="199"/>
      <c r="X13" s="200"/>
      <c r="Y13" s="199"/>
      <c r="AF13" s="200"/>
    </row>
    <row r="14" spans="1:32" ht="15.75" x14ac:dyDescent="0.25">
      <c r="A14" s="180" t="s">
        <v>279</v>
      </c>
      <c r="B14" s="269">
        <v>45000</v>
      </c>
      <c r="C14" s="177">
        <v>45901</v>
      </c>
      <c r="D14" s="178">
        <v>5</v>
      </c>
      <c r="E14" s="179">
        <v>7000</v>
      </c>
      <c r="F14" s="321"/>
      <c r="G14" s="321"/>
      <c r="H14" s="322"/>
      <c r="K14" s="39"/>
      <c r="L14" s="39"/>
      <c r="M14" s="39"/>
      <c r="N14" s="39"/>
      <c r="O14" s="39"/>
      <c r="P14" s="199"/>
      <c r="X14" s="200"/>
      <c r="Y14" s="199"/>
      <c r="AF14" s="200"/>
    </row>
    <row r="15" spans="1:32" x14ac:dyDescent="0.25">
      <c r="A15" s="180"/>
      <c r="B15" s="269"/>
      <c r="C15" s="177"/>
      <c r="D15" s="178"/>
      <c r="E15" s="179"/>
      <c r="F15" s="321"/>
      <c r="G15" s="321"/>
      <c r="H15" s="322"/>
      <c r="N15" s="30"/>
      <c r="P15" s="199"/>
      <c r="X15" s="200"/>
      <c r="Y15" s="199"/>
      <c r="AF15" s="200"/>
    </row>
    <row r="16" spans="1:32" ht="15.75" thickBot="1" x14ac:dyDescent="0.3">
      <c r="A16" s="181"/>
      <c r="B16" s="128"/>
      <c r="C16" s="182"/>
      <c r="D16" s="183"/>
      <c r="E16" s="184"/>
      <c r="F16" s="318"/>
      <c r="G16" s="318"/>
      <c r="H16" s="319"/>
      <c r="N16" s="30"/>
      <c r="P16" s="136"/>
      <c r="Q16" s="137"/>
      <c r="R16" s="137"/>
      <c r="S16" s="137"/>
      <c r="T16" s="137"/>
      <c r="U16" s="137"/>
      <c r="V16" s="137"/>
      <c r="W16" s="137"/>
      <c r="X16" s="138"/>
      <c r="Y16" s="136"/>
      <c r="Z16" s="137"/>
      <c r="AA16" s="137"/>
      <c r="AB16" s="137"/>
      <c r="AC16" s="137"/>
      <c r="AD16" s="137"/>
      <c r="AE16" s="137"/>
      <c r="AF16" s="138"/>
    </row>
    <row r="17" spans="1:32" ht="15.75" thickTop="1" x14ac:dyDescent="0.25">
      <c r="A17" s="55"/>
      <c r="B17" s="29"/>
      <c r="C17" s="55"/>
      <c r="D17" s="55"/>
      <c r="E17" s="55"/>
      <c r="F17" s="29"/>
      <c r="G17" s="29"/>
      <c r="H17" s="30"/>
      <c r="I17" s="30"/>
      <c r="J17" s="30"/>
      <c r="K17" s="30"/>
      <c r="L17" s="30"/>
      <c r="M17" s="30"/>
      <c r="N17" s="30"/>
      <c r="P17" s="258"/>
      <c r="Q17" s="259"/>
      <c r="R17" s="259"/>
      <c r="S17" s="259"/>
      <c r="T17" s="259"/>
      <c r="U17" s="259"/>
      <c r="V17" s="259"/>
      <c r="W17" s="259"/>
      <c r="X17" s="255"/>
      <c r="Y17" s="258"/>
      <c r="Z17" s="259"/>
      <c r="AA17" s="259"/>
      <c r="AB17" s="259"/>
      <c r="AC17" s="259"/>
      <c r="AD17" s="259"/>
      <c r="AE17" s="259"/>
      <c r="AF17" s="255"/>
    </row>
    <row r="18" spans="1:32" ht="17.25" x14ac:dyDescent="0.3">
      <c r="P18" s="199"/>
      <c r="X18" s="200"/>
      <c r="Y18" s="199"/>
      <c r="Z18" s="253"/>
      <c r="AF18" s="200"/>
    </row>
    <row r="19" spans="1:32" ht="19.5" x14ac:dyDescent="0.3">
      <c r="A19" s="35" t="s">
        <v>220</v>
      </c>
      <c r="P19" s="199"/>
      <c r="Q19" s="264" t="str">
        <f>A19</f>
        <v>Capital Expenditure - Impact on Income Statement (Depreciation &amp; Amortization)</v>
      </c>
      <c r="X19" s="200"/>
      <c r="Y19" s="199"/>
      <c r="AF19" s="200"/>
    </row>
    <row r="20" spans="1:32" ht="17.25" x14ac:dyDescent="0.3">
      <c r="A20" s="31"/>
      <c r="B20" s="306" t="s">
        <v>157</v>
      </c>
      <c r="C20" s="307"/>
      <c r="D20" s="307"/>
      <c r="E20" s="307"/>
      <c r="F20" s="307"/>
      <c r="G20" s="307"/>
      <c r="H20" s="307"/>
      <c r="I20" s="308"/>
      <c r="J20" s="281"/>
      <c r="K20" s="309" t="s">
        <v>156</v>
      </c>
      <c r="L20" s="310"/>
      <c r="M20" s="310"/>
      <c r="N20" s="311"/>
      <c r="P20" s="199"/>
      <c r="Q20" s="253" t="s">
        <v>199</v>
      </c>
      <c r="X20" s="200"/>
      <c r="Y20" s="199"/>
      <c r="AF20" s="200"/>
    </row>
    <row r="21" spans="1:32" s="53" customFormat="1" x14ac:dyDescent="0.25">
      <c r="A21" s="31"/>
      <c r="B21" s="312" t="s">
        <v>193</v>
      </c>
      <c r="C21" s="313"/>
      <c r="D21" s="313"/>
      <c r="E21" s="314"/>
      <c r="F21" s="315" t="s">
        <v>194</v>
      </c>
      <c r="G21" s="313"/>
      <c r="H21" s="313"/>
      <c r="I21" s="316"/>
      <c r="J21" s="281"/>
      <c r="K21" s="97" t="s">
        <v>135</v>
      </c>
      <c r="L21" s="98" t="s">
        <v>136</v>
      </c>
      <c r="M21" s="98" t="s">
        <v>137</v>
      </c>
      <c r="N21" s="99" t="s">
        <v>225</v>
      </c>
      <c r="P21" s="199"/>
      <c r="Q21"/>
      <c r="R21" s="309" t="s">
        <v>200</v>
      </c>
      <c r="S21" s="310"/>
      <c r="T21" s="310"/>
      <c r="U21" s="310"/>
      <c r="V21" s="310"/>
      <c r="W21" s="311"/>
      <c r="X21" s="200"/>
      <c r="Y21" s="199"/>
      <c r="Z21"/>
      <c r="AA21"/>
      <c r="AB21"/>
      <c r="AC21"/>
      <c r="AD21"/>
      <c r="AE21"/>
      <c r="AF21" s="200"/>
    </row>
    <row r="22" spans="1:32" x14ac:dyDescent="0.25">
      <c r="A22" s="51"/>
      <c r="B22" s="93">
        <f>StartDate</f>
        <v>43831</v>
      </c>
      <c r="C22" s="52">
        <f>EDATE(B22,3)</f>
        <v>43922</v>
      </c>
      <c r="D22" s="52">
        <f t="shared" ref="D22" si="0">EDATE(C22,3)</f>
        <v>44013</v>
      </c>
      <c r="E22" s="52">
        <f t="shared" ref="E22" si="1">EDATE(D22,3)</f>
        <v>44105</v>
      </c>
      <c r="F22" s="52">
        <f t="shared" ref="F22" si="2">EDATE(E22,3)</f>
        <v>44197</v>
      </c>
      <c r="G22" s="52">
        <f t="shared" ref="G22" si="3">EDATE(F22,3)</f>
        <v>44287</v>
      </c>
      <c r="H22" s="52">
        <f t="shared" ref="H22" si="4">EDATE(G22,3)</f>
        <v>44378</v>
      </c>
      <c r="I22" s="89">
        <f t="shared" ref="I22" si="5">EDATE(H22,3)</f>
        <v>44470</v>
      </c>
      <c r="J22" s="281"/>
      <c r="K22" s="93">
        <f>EDATE(I22,3)</f>
        <v>44562</v>
      </c>
      <c r="L22" s="52">
        <f t="shared" ref="L22" si="6">EDATE(K22,12)</f>
        <v>44927</v>
      </c>
      <c r="M22" s="52">
        <f t="shared" ref="M22:N22" si="7">EDATE(L22,12)</f>
        <v>45292</v>
      </c>
      <c r="N22" s="96">
        <f t="shared" si="7"/>
        <v>45658</v>
      </c>
      <c r="P22" s="199"/>
      <c r="R22" s="97" t="s">
        <v>193</v>
      </c>
      <c r="S22" s="98" t="s">
        <v>194</v>
      </c>
      <c r="T22" s="98" t="s">
        <v>135</v>
      </c>
      <c r="U22" s="98" t="s">
        <v>136</v>
      </c>
      <c r="V22" s="98" t="s">
        <v>137</v>
      </c>
      <c r="W22" s="99" t="s">
        <v>225</v>
      </c>
      <c r="X22" s="200"/>
      <c r="Y22" s="199"/>
      <c r="AF22" s="200"/>
    </row>
    <row r="23" spans="1:32" x14ac:dyDescent="0.25">
      <c r="A23" s="36" t="str">
        <f t="shared" ref="A23:A33" si="8">A41</f>
        <v>Lab Tools</v>
      </c>
      <c r="B23" s="129">
        <f>IF(B59&gt;0,$B6/$D6/4,0)</f>
        <v>0</v>
      </c>
      <c r="C23" s="43">
        <f t="shared" ref="C23:I23" si="9">IF(C59&gt;0,$B6/$D6/4,0)</f>
        <v>0</v>
      </c>
      <c r="D23" s="43">
        <f t="shared" si="9"/>
        <v>214.28571428571428</v>
      </c>
      <c r="E23" s="43">
        <f t="shared" si="9"/>
        <v>214.28571428571428</v>
      </c>
      <c r="F23" s="43">
        <f t="shared" si="9"/>
        <v>214.28571428571428</v>
      </c>
      <c r="G23" s="43">
        <f t="shared" si="9"/>
        <v>214.28571428571428</v>
      </c>
      <c r="H23" s="43">
        <f t="shared" si="9"/>
        <v>214.28571428571428</v>
      </c>
      <c r="I23" s="130">
        <f t="shared" si="9"/>
        <v>214.28571428571428</v>
      </c>
      <c r="J23" s="281"/>
      <c r="K23" s="129">
        <f>IF(K59&gt;0,$B6/$D6,0)</f>
        <v>857.14285714285711</v>
      </c>
      <c r="L23" s="43">
        <f t="shared" ref="L23:N23" si="10">IF(L59&gt;0,$B6/$D6,0)</f>
        <v>857.14285714285711</v>
      </c>
      <c r="M23" s="43">
        <f t="shared" si="10"/>
        <v>857.14285714285711</v>
      </c>
      <c r="N23" s="130">
        <f t="shared" si="10"/>
        <v>857.14285714285711</v>
      </c>
      <c r="P23" s="199"/>
      <c r="R23" s="93">
        <f>B22</f>
        <v>43831</v>
      </c>
      <c r="S23" s="52">
        <f>F22</f>
        <v>44197</v>
      </c>
      <c r="T23" s="52">
        <f t="shared" ref="T23:T33" si="11">K22</f>
        <v>44562</v>
      </c>
      <c r="U23" s="52">
        <f t="shared" ref="U23:U33" si="12">L22</f>
        <v>44927</v>
      </c>
      <c r="V23" s="52">
        <f t="shared" ref="V23:V33" si="13">M22</f>
        <v>45292</v>
      </c>
      <c r="W23" s="96">
        <f t="shared" ref="W23:W33" si="14">N22</f>
        <v>45658</v>
      </c>
      <c r="X23" s="200"/>
      <c r="Y23" s="199"/>
      <c r="AF23" s="200"/>
    </row>
    <row r="24" spans="1:32" x14ac:dyDescent="0.25">
      <c r="A24" s="36" t="str">
        <f t="shared" si="8"/>
        <v>Product Testing Unit</v>
      </c>
      <c r="B24" s="129">
        <f>IF(B60&gt;0,$B7/$D7/4,0)</f>
        <v>0</v>
      </c>
      <c r="C24" s="43">
        <f t="shared" ref="C24:I24" si="15">IF(C60&gt;0,$B7/$D7/4,0)</f>
        <v>0</v>
      </c>
      <c r="D24" s="43">
        <f t="shared" si="15"/>
        <v>0</v>
      </c>
      <c r="E24" s="43">
        <f t="shared" si="15"/>
        <v>833.33333333333337</v>
      </c>
      <c r="F24" s="43">
        <f t="shared" si="15"/>
        <v>833.33333333333337</v>
      </c>
      <c r="G24" s="43">
        <f t="shared" si="15"/>
        <v>833.33333333333337</v>
      </c>
      <c r="H24" s="43">
        <f t="shared" si="15"/>
        <v>833.33333333333337</v>
      </c>
      <c r="I24" s="130">
        <f t="shared" si="15"/>
        <v>833.33333333333337</v>
      </c>
      <c r="J24" s="281"/>
      <c r="K24" s="129">
        <f t="shared" ref="K24:N33" si="16">IF(K60&gt;0,$B7/$D7,0)</f>
        <v>3333.3333333333335</v>
      </c>
      <c r="L24" s="43">
        <f t="shared" si="16"/>
        <v>3333.3333333333335</v>
      </c>
      <c r="M24" s="43">
        <f t="shared" si="16"/>
        <v>3333.3333333333335</v>
      </c>
      <c r="N24" s="130">
        <f t="shared" si="16"/>
        <v>3333.3333333333335</v>
      </c>
      <c r="P24" s="199"/>
      <c r="Q24" s="36" t="str">
        <f t="shared" ref="Q24:Q33" si="17">A23</f>
        <v>Lab Tools</v>
      </c>
      <c r="R24" s="94">
        <f t="shared" ref="R24:R33" si="18">SUM(B23:E23)</f>
        <v>428.57142857142856</v>
      </c>
      <c r="S24" s="87">
        <f t="shared" ref="S24:S33" si="19">SUM(F23:I23)</f>
        <v>857.14285714285711</v>
      </c>
      <c r="T24" s="87">
        <f t="shared" si="11"/>
        <v>857.14285714285711</v>
      </c>
      <c r="U24" s="87">
        <f t="shared" si="12"/>
        <v>857.14285714285711</v>
      </c>
      <c r="V24" s="87">
        <f t="shared" si="13"/>
        <v>857.14285714285711</v>
      </c>
      <c r="W24" s="90">
        <f t="shared" si="14"/>
        <v>857.14285714285711</v>
      </c>
      <c r="X24" s="200"/>
      <c r="Y24" s="199"/>
      <c r="AF24" s="200"/>
    </row>
    <row r="25" spans="1:32" x14ac:dyDescent="0.25">
      <c r="A25" s="36" t="str">
        <f t="shared" si="8"/>
        <v>Office Furniture</v>
      </c>
      <c r="B25" s="129">
        <f t="shared" ref="B25:I33" si="20">IF(B61&gt;0,$B8/$D8/4,0)</f>
        <v>0</v>
      </c>
      <c r="C25" s="43">
        <f t="shared" si="20"/>
        <v>0</v>
      </c>
      <c r="D25" s="43">
        <f t="shared" si="20"/>
        <v>0</v>
      </c>
      <c r="E25" s="43">
        <f t="shared" si="20"/>
        <v>150</v>
      </c>
      <c r="F25" s="43">
        <f t="shared" si="20"/>
        <v>150</v>
      </c>
      <c r="G25" s="43">
        <f t="shared" si="20"/>
        <v>150</v>
      </c>
      <c r="H25" s="43">
        <f t="shared" si="20"/>
        <v>150</v>
      </c>
      <c r="I25" s="130">
        <f t="shared" si="20"/>
        <v>150</v>
      </c>
      <c r="J25" s="281"/>
      <c r="K25" s="129">
        <f t="shared" si="16"/>
        <v>600</v>
      </c>
      <c r="L25" s="43">
        <f t="shared" si="16"/>
        <v>600</v>
      </c>
      <c r="M25" s="43">
        <f t="shared" si="16"/>
        <v>600</v>
      </c>
      <c r="N25" s="130">
        <f t="shared" si="16"/>
        <v>600</v>
      </c>
      <c r="P25" s="199"/>
      <c r="Q25" s="36" t="str">
        <f t="shared" si="17"/>
        <v>Product Testing Unit</v>
      </c>
      <c r="R25" s="94">
        <f t="shared" si="18"/>
        <v>833.33333333333337</v>
      </c>
      <c r="S25" s="87">
        <f t="shared" si="19"/>
        <v>3333.3333333333335</v>
      </c>
      <c r="T25" s="87">
        <f t="shared" si="11"/>
        <v>3333.3333333333335</v>
      </c>
      <c r="U25" s="87">
        <f t="shared" si="12"/>
        <v>3333.3333333333335</v>
      </c>
      <c r="V25" s="87">
        <f t="shared" si="13"/>
        <v>3333.3333333333335</v>
      </c>
      <c r="W25" s="90">
        <f t="shared" si="14"/>
        <v>3333.3333333333335</v>
      </c>
      <c r="X25" s="200"/>
      <c r="Y25" s="199"/>
      <c r="AF25" s="200"/>
    </row>
    <row r="26" spans="1:32" x14ac:dyDescent="0.25">
      <c r="A26" s="36" t="str">
        <f t="shared" si="8"/>
        <v>Company Vehicle</v>
      </c>
      <c r="B26" s="129">
        <f t="shared" si="20"/>
        <v>0</v>
      </c>
      <c r="C26" s="43">
        <f t="shared" si="20"/>
        <v>0</v>
      </c>
      <c r="D26" s="43">
        <f t="shared" si="20"/>
        <v>0</v>
      </c>
      <c r="E26" s="43">
        <f t="shared" si="20"/>
        <v>0</v>
      </c>
      <c r="F26" s="43">
        <f t="shared" si="20"/>
        <v>0</v>
      </c>
      <c r="G26" s="43">
        <f t="shared" si="20"/>
        <v>1750</v>
      </c>
      <c r="H26" s="43">
        <f t="shared" si="20"/>
        <v>1750</v>
      </c>
      <c r="I26" s="130">
        <f t="shared" si="20"/>
        <v>1750</v>
      </c>
      <c r="J26" s="281"/>
      <c r="K26" s="129">
        <f t="shared" si="16"/>
        <v>7000</v>
      </c>
      <c r="L26" s="43">
        <f t="shared" si="16"/>
        <v>7000</v>
      </c>
      <c r="M26" s="43">
        <f t="shared" si="16"/>
        <v>7000</v>
      </c>
      <c r="N26" s="130">
        <f t="shared" si="16"/>
        <v>7000</v>
      </c>
      <c r="P26" s="199"/>
      <c r="Q26" s="36" t="str">
        <f t="shared" si="17"/>
        <v>Office Furniture</v>
      </c>
      <c r="R26" s="94">
        <f t="shared" si="18"/>
        <v>150</v>
      </c>
      <c r="S26" s="87">
        <f t="shared" si="19"/>
        <v>600</v>
      </c>
      <c r="T26" s="87">
        <f t="shared" si="11"/>
        <v>600</v>
      </c>
      <c r="U26" s="87">
        <f t="shared" si="12"/>
        <v>600</v>
      </c>
      <c r="V26" s="87">
        <f t="shared" si="13"/>
        <v>600</v>
      </c>
      <c r="W26" s="90">
        <f t="shared" si="14"/>
        <v>600</v>
      </c>
      <c r="X26" s="200"/>
      <c r="Y26" s="199"/>
      <c r="AF26" s="200"/>
    </row>
    <row r="27" spans="1:32" x14ac:dyDescent="0.25">
      <c r="A27" s="36" t="str">
        <f t="shared" si="8"/>
        <v>High Cap. Testing Unit</v>
      </c>
      <c r="B27" s="129">
        <f t="shared" si="20"/>
        <v>0</v>
      </c>
      <c r="C27" s="43">
        <f t="shared" si="20"/>
        <v>0</v>
      </c>
      <c r="D27" s="43">
        <f t="shared" si="20"/>
        <v>0</v>
      </c>
      <c r="E27" s="43">
        <f t="shared" si="20"/>
        <v>0</v>
      </c>
      <c r="F27" s="43">
        <f t="shared" si="20"/>
        <v>0</v>
      </c>
      <c r="G27" s="43">
        <f t="shared" si="20"/>
        <v>0</v>
      </c>
      <c r="H27" s="43">
        <f t="shared" si="20"/>
        <v>2291.6666666666665</v>
      </c>
      <c r="I27" s="130">
        <f t="shared" si="20"/>
        <v>2291.6666666666665</v>
      </c>
      <c r="J27" s="281"/>
      <c r="K27" s="129">
        <f t="shared" si="16"/>
        <v>9166.6666666666661</v>
      </c>
      <c r="L27" s="43">
        <f t="shared" si="16"/>
        <v>9166.6666666666661</v>
      </c>
      <c r="M27" s="43">
        <f t="shared" si="16"/>
        <v>9166.6666666666661</v>
      </c>
      <c r="N27" s="130">
        <f t="shared" si="16"/>
        <v>9166.6666666666661</v>
      </c>
      <c r="P27" s="199"/>
      <c r="Q27" s="36" t="str">
        <f t="shared" si="17"/>
        <v>Company Vehicle</v>
      </c>
      <c r="R27" s="94">
        <f t="shared" si="18"/>
        <v>0</v>
      </c>
      <c r="S27" s="87">
        <f t="shared" si="19"/>
        <v>5250</v>
      </c>
      <c r="T27" s="87">
        <f t="shared" si="11"/>
        <v>7000</v>
      </c>
      <c r="U27" s="87">
        <f t="shared" si="12"/>
        <v>7000</v>
      </c>
      <c r="V27" s="87">
        <f t="shared" si="13"/>
        <v>7000</v>
      </c>
      <c r="W27" s="90">
        <f t="shared" si="14"/>
        <v>7000</v>
      </c>
      <c r="X27" s="200"/>
      <c r="Y27" s="199"/>
      <c r="AF27" s="200"/>
    </row>
    <row r="28" spans="1:32" x14ac:dyDescent="0.25">
      <c r="A28" s="36" t="str">
        <f t="shared" si="8"/>
        <v>Office Furniture</v>
      </c>
      <c r="B28" s="129">
        <f t="shared" si="20"/>
        <v>0</v>
      </c>
      <c r="C28" s="43">
        <f t="shared" si="20"/>
        <v>0</v>
      </c>
      <c r="D28" s="43">
        <f t="shared" si="20"/>
        <v>0</v>
      </c>
      <c r="E28" s="43">
        <f t="shared" si="20"/>
        <v>0</v>
      </c>
      <c r="F28" s="43">
        <f t="shared" si="20"/>
        <v>0</v>
      </c>
      <c r="G28" s="43">
        <f t="shared" si="20"/>
        <v>0</v>
      </c>
      <c r="H28" s="43">
        <f t="shared" si="20"/>
        <v>400</v>
      </c>
      <c r="I28" s="130">
        <f t="shared" si="20"/>
        <v>400</v>
      </c>
      <c r="J28" s="281"/>
      <c r="K28" s="129">
        <f t="shared" si="16"/>
        <v>1600</v>
      </c>
      <c r="L28" s="43">
        <f t="shared" si="16"/>
        <v>1600</v>
      </c>
      <c r="M28" s="43">
        <f t="shared" si="16"/>
        <v>1600</v>
      </c>
      <c r="N28" s="130">
        <f t="shared" si="16"/>
        <v>1600</v>
      </c>
      <c r="P28" s="199"/>
      <c r="Q28" s="36" t="str">
        <f t="shared" si="17"/>
        <v>High Cap. Testing Unit</v>
      </c>
      <c r="R28" s="94">
        <f t="shared" si="18"/>
        <v>0</v>
      </c>
      <c r="S28" s="87">
        <f t="shared" si="19"/>
        <v>4583.333333333333</v>
      </c>
      <c r="T28" s="87">
        <f t="shared" si="11"/>
        <v>9166.6666666666661</v>
      </c>
      <c r="U28" s="87">
        <f t="shared" si="12"/>
        <v>9166.6666666666661</v>
      </c>
      <c r="V28" s="87">
        <f t="shared" si="13"/>
        <v>9166.6666666666661</v>
      </c>
      <c r="W28" s="90">
        <f t="shared" si="14"/>
        <v>9166.6666666666661</v>
      </c>
      <c r="X28" s="200"/>
      <c r="Y28" s="199"/>
      <c r="AF28" s="200"/>
    </row>
    <row r="29" spans="1:32" x14ac:dyDescent="0.25">
      <c r="A29" s="36" t="str">
        <f t="shared" si="8"/>
        <v>Storage Racks</v>
      </c>
      <c r="B29" s="129">
        <f t="shared" si="20"/>
        <v>0</v>
      </c>
      <c r="C29" s="43">
        <f t="shared" si="20"/>
        <v>0</v>
      </c>
      <c r="D29" s="43">
        <f t="shared" si="20"/>
        <v>0</v>
      </c>
      <c r="E29" s="43">
        <f t="shared" si="20"/>
        <v>0</v>
      </c>
      <c r="F29" s="43">
        <f t="shared" si="20"/>
        <v>0</v>
      </c>
      <c r="G29" s="43">
        <f t="shared" si="20"/>
        <v>0</v>
      </c>
      <c r="H29" s="43">
        <f t="shared" si="20"/>
        <v>0</v>
      </c>
      <c r="I29" s="130">
        <f t="shared" si="20"/>
        <v>0</v>
      </c>
      <c r="J29" s="281"/>
      <c r="K29" s="129">
        <f t="shared" si="16"/>
        <v>600</v>
      </c>
      <c r="L29" s="43">
        <f t="shared" si="16"/>
        <v>600</v>
      </c>
      <c r="M29" s="43">
        <f t="shared" si="16"/>
        <v>600</v>
      </c>
      <c r="N29" s="130">
        <f t="shared" si="16"/>
        <v>600</v>
      </c>
      <c r="P29" s="199"/>
      <c r="Q29" s="36" t="str">
        <f t="shared" si="17"/>
        <v>Office Furniture</v>
      </c>
      <c r="R29" s="94">
        <f t="shared" si="18"/>
        <v>0</v>
      </c>
      <c r="S29" s="87">
        <f t="shared" si="19"/>
        <v>800</v>
      </c>
      <c r="T29" s="87">
        <f t="shared" si="11"/>
        <v>1600</v>
      </c>
      <c r="U29" s="87">
        <f t="shared" si="12"/>
        <v>1600</v>
      </c>
      <c r="V29" s="87">
        <f t="shared" si="13"/>
        <v>1600</v>
      </c>
      <c r="W29" s="90">
        <f t="shared" si="14"/>
        <v>1600</v>
      </c>
      <c r="X29" s="200"/>
      <c r="Y29" s="199"/>
      <c r="AF29" s="200"/>
    </row>
    <row r="30" spans="1:32" x14ac:dyDescent="0.25">
      <c r="A30" s="36" t="str">
        <f t="shared" si="8"/>
        <v>New Lab Tools</v>
      </c>
      <c r="B30" s="129">
        <f t="shared" si="20"/>
        <v>0</v>
      </c>
      <c r="C30" s="43">
        <f t="shared" si="20"/>
        <v>0</v>
      </c>
      <c r="D30" s="43">
        <f t="shared" si="20"/>
        <v>0</v>
      </c>
      <c r="E30" s="43">
        <f t="shared" si="20"/>
        <v>0</v>
      </c>
      <c r="F30" s="43">
        <f t="shared" si="20"/>
        <v>0</v>
      </c>
      <c r="G30" s="43">
        <f t="shared" si="20"/>
        <v>0</v>
      </c>
      <c r="H30" s="43">
        <f t="shared" si="20"/>
        <v>0</v>
      </c>
      <c r="I30" s="130">
        <f t="shared" si="20"/>
        <v>0</v>
      </c>
      <c r="J30" s="281"/>
      <c r="K30" s="129">
        <f t="shared" si="16"/>
        <v>0</v>
      </c>
      <c r="L30" s="43">
        <f t="shared" si="16"/>
        <v>2142.8571428571427</v>
      </c>
      <c r="M30" s="43">
        <f t="shared" si="16"/>
        <v>2142.8571428571427</v>
      </c>
      <c r="N30" s="130">
        <f t="shared" si="16"/>
        <v>2142.8571428571427</v>
      </c>
      <c r="P30" s="199"/>
      <c r="Q30" t="str">
        <f t="shared" si="17"/>
        <v>Storage Racks</v>
      </c>
      <c r="R30" s="94">
        <f t="shared" si="18"/>
        <v>0</v>
      </c>
      <c r="S30" s="87">
        <f t="shared" si="19"/>
        <v>0</v>
      </c>
      <c r="T30" s="87">
        <f t="shared" si="11"/>
        <v>600</v>
      </c>
      <c r="U30" s="87">
        <f t="shared" si="12"/>
        <v>600</v>
      </c>
      <c r="V30" s="87">
        <f t="shared" si="13"/>
        <v>600</v>
      </c>
      <c r="W30" s="90">
        <f t="shared" si="14"/>
        <v>600</v>
      </c>
      <c r="X30" s="200"/>
      <c r="Y30" s="199"/>
      <c r="AF30" s="200"/>
    </row>
    <row r="31" spans="1:32" x14ac:dyDescent="0.25">
      <c r="A31" s="36" t="str">
        <f t="shared" si="8"/>
        <v>Company Vehicle</v>
      </c>
      <c r="B31" s="129">
        <f t="shared" si="20"/>
        <v>0</v>
      </c>
      <c r="C31" s="43">
        <f t="shared" si="20"/>
        <v>0</v>
      </c>
      <c r="D31" s="43">
        <f t="shared" si="20"/>
        <v>0</v>
      </c>
      <c r="E31" s="43">
        <f t="shared" si="20"/>
        <v>0</v>
      </c>
      <c r="F31" s="43">
        <f t="shared" si="20"/>
        <v>0</v>
      </c>
      <c r="G31" s="43">
        <f t="shared" si="20"/>
        <v>0</v>
      </c>
      <c r="H31" s="43">
        <f t="shared" si="20"/>
        <v>0</v>
      </c>
      <c r="I31" s="130">
        <f t="shared" si="20"/>
        <v>0</v>
      </c>
      <c r="J31" s="281"/>
      <c r="K31" s="129">
        <f t="shared" si="16"/>
        <v>0</v>
      </c>
      <c r="L31" s="43">
        <f t="shared" si="16"/>
        <v>0</v>
      </c>
      <c r="M31" s="43">
        <f t="shared" si="16"/>
        <v>0</v>
      </c>
      <c r="N31" s="130">
        <f t="shared" si="16"/>
        <v>9000</v>
      </c>
      <c r="P31" s="199"/>
      <c r="Q31" t="str">
        <f t="shared" si="17"/>
        <v>New Lab Tools</v>
      </c>
      <c r="R31" s="94">
        <f t="shared" si="18"/>
        <v>0</v>
      </c>
      <c r="S31" s="87">
        <f t="shared" si="19"/>
        <v>0</v>
      </c>
      <c r="T31" s="87">
        <f t="shared" si="11"/>
        <v>0</v>
      </c>
      <c r="U31" s="87">
        <f t="shared" si="12"/>
        <v>2142.8571428571427</v>
      </c>
      <c r="V31" s="87">
        <f t="shared" si="13"/>
        <v>2142.8571428571427</v>
      </c>
      <c r="W31" s="90">
        <f t="shared" si="14"/>
        <v>2142.8571428571427</v>
      </c>
      <c r="X31" s="200"/>
      <c r="Y31" s="199"/>
      <c r="AF31" s="200"/>
    </row>
    <row r="32" spans="1:32" x14ac:dyDescent="0.25">
      <c r="A32" s="36" t="str">
        <f t="shared" si="8"/>
        <v>Empty</v>
      </c>
      <c r="B32" s="129">
        <f t="shared" si="20"/>
        <v>0</v>
      </c>
      <c r="C32" s="43">
        <f t="shared" si="20"/>
        <v>0</v>
      </c>
      <c r="D32" s="43">
        <f t="shared" si="20"/>
        <v>0</v>
      </c>
      <c r="E32" s="43">
        <f t="shared" si="20"/>
        <v>0</v>
      </c>
      <c r="F32" s="43">
        <f t="shared" si="20"/>
        <v>0</v>
      </c>
      <c r="G32" s="43">
        <f t="shared" si="20"/>
        <v>0</v>
      </c>
      <c r="H32" s="43">
        <f t="shared" si="20"/>
        <v>0</v>
      </c>
      <c r="I32" s="130">
        <f t="shared" si="20"/>
        <v>0</v>
      </c>
      <c r="J32" s="281"/>
      <c r="K32" s="129">
        <f t="shared" si="16"/>
        <v>0</v>
      </c>
      <c r="L32" s="43">
        <f t="shared" si="16"/>
        <v>0</v>
      </c>
      <c r="M32" s="43">
        <f t="shared" si="16"/>
        <v>0</v>
      </c>
      <c r="N32" s="130">
        <f t="shared" si="16"/>
        <v>0</v>
      </c>
      <c r="P32" s="199"/>
      <c r="Q32" t="str">
        <f t="shared" si="17"/>
        <v>Company Vehicle</v>
      </c>
      <c r="R32" s="94">
        <f t="shared" si="18"/>
        <v>0</v>
      </c>
      <c r="S32" s="87">
        <f t="shared" si="19"/>
        <v>0</v>
      </c>
      <c r="T32" s="87">
        <f t="shared" si="11"/>
        <v>0</v>
      </c>
      <c r="U32" s="87">
        <f t="shared" si="12"/>
        <v>0</v>
      </c>
      <c r="V32" s="87">
        <f t="shared" si="13"/>
        <v>0</v>
      </c>
      <c r="W32" s="90">
        <f t="shared" si="14"/>
        <v>9000</v>
      </c>
      <c r="X32" s="200"/>
      <c r="Y32" s="199"/>
      <c r="AF32" s="200"/>
    </row>
    <row r="33" spans="1:32" s="26" customFormat="1" ht="15.75" thickBot="1" x14ac:dyDescent="0.3">
      <c r="A33" s="37" t="str">
        <f t="shared" si="8"/>
        <v>Empty</v>
      </c>
      <c r="B33" s="131">
        <f t="shared" si="20"/>
        <v>0</v>
      </c>
      <c r="C33" s="44">
        <f t="shared" si="20"/>
        <v>0</v>
      </c>
      <c r="D33" s="44">
        <f t="shared" si="20"/>
        <v>0</v>
      </c>
      <c r="E33" s="44">
        <f t="shared" si="20"/>
        <v>0</v>
      </c>
      <c r="F33" s="44">
        <f t="shared" si="20"/>
        <v>0</v>
      </c>
      <c r="G33" s="44">
        <f t="shared" si="20"/>
        <v>0</v>
      </c>
      <c r="H33" s="44">
        <f t="shared" si="20"/>
        <v>0</v>
      </c>
      <c r="I33" s="132">
        <f t="shared" si="20"/>
        <v>0</v>
      </c>
      <c r="J33" s="281"/>
      <c r="K33" s="131">
        <f t="shared" si="16"/>
        <v>0</v>
      </c>
      <c r="L33" s="44">
        <f t="shared" si="16"/>
        <v>0</v>
      </c>
      <c r="M33" s="44">
        <f t="shared" si="16"/>
        <v>0</v>
      </c>
      <c r="N33" s="132">
        <f t="shared" si="16"/>
        <v>0</v>
      </c>
      <c r="P33" s="199"/>
      <c r="Q33" s="36" t="str">
        <f t="shared" si="17"/>
        <v>Empty</v>
      </c>
      <c r="R33" s="95">
        <f t="shared" si="18"/>
        <v>0</v>
      </c>
      <c r="S33" s="88">
        <f t="shared" si="19"/>
        <v>0</v>
      </c>
      <c r="T33" s="88">
        <f t="shared" si="11"/>
        <v>0</v>
      </c>
      <c r="U33" s="88">
        <f t="shared" si="12"/>
        <v>0</v>
      </c>
      <c r="V33" s="88">
        <f t="shared" si="13"/>
        <v>0</v>
      </c>
      <c r="W33" s="91">
        <f t="shared" si="14"/>
        <v>0</v>
      </c>
      <c r="X33" s="200"/>
      <c r="Y33" s="199"/>
      <c r="Z33"/>
      <c r="AA33"/>
      <c r="AB33"/>
      <c r="AC33"/>
      <c r="AD33"/>
      <c r="AE33"/>
      <c r="AF33" s="200"/>
    </row>
    <row r="34" spans="1:32" ht="15.75" thickTop="1" x14ac:dyDescent="0.25">
      <c r="A34" s="73" t="s">
        <v>15</v>
      </c>
      <c r="B34" s="217">
        <f>SUM(B23:B33)</f>
        <v>0</v>
      </c>
      <c r="C34" s="218">
        <f t="shared" ref="C34:N34" si="21">SUM(C23:C33)</f>
        <v>0</v>
      </c>
      <c r="D34" s="218">
        <f t="shared" si="21"/>
        <v>214.28571428571428</v>
      </c>
      <c r="E34" s="218">
        <f t="shared" si="21"/>
        <v>1197.6190476190477</v>
      </c>
      <c r="F34" s="218">
        <f t="shared" si="21"/>
        <v>1197.6190476190477</v>
      </c>
      <c r="G34" s="218">
        <f t="shared" si="21"/>
        <v>2947.6190476190477</v>
      </c>
      <c r="H34" s="218">
        <f t="shared" si="21"/>
        <v>5639.2857142857138</v>
      </c>
      <c r="I34" s="219">
        <f t="shared" si="21"/>
        <v>5639.2857142857138</v>
      </c>
      <c r="J34" s="281"/>
      <c r="K34" s="217">
        <f t="shared" si="21"/>
        <v>23157.142857142855</v>
      </c>
      <c r="L34" s="218">
        <f t="shared" si="21"/>
        <v>25299.999999999996</v>
      </c>
      <c r="M34" s="218">
        <f t="shared" si="21"/>
        <v>25299.999999999996</v>
      </c>
      <c r="N34" s="219">
        <f t="shared" si="21"/>
        <v>34300</v>
      </c>
      <c r="P34" s="199"/>
      <c r="R34" s="74">
        <f>SUM(R24:R33)</f>
        <v>1411.9047619047619</v>
      </c>
      <c r="S34" s="74">
        <f t="shared" ref="S34:W34" si="22">SUM(S24:S33)</f>
        <v>15423.809523809523</v>
      </c>
      <c r="T34" s="74">
        <f t="shared" si="22"/>
        <v>23157.142857142855</v>
      </c>
      <c r="U34" s="74">
        <f t="shared" si="22"/>
        <v>25299.999999999996</v>
      </c>
      <c r="V34" s="74">
        <f t="shared" si="22"/>
        <v>25299.999999999996</v>
      </c>
      <c r="W34" s="119">
        <f t="shared" si="22"/>
        <v>34300</v>
      </c>
      <c r="X34" s="200"/>
      <c r="Y34" s="199"/>
      <c r="AF34" s="200"/>
    </row>
    <row r="35" spans="1:32" ht="15.75" thickBot="1" x14ac:dyDescent="0.3">
      <c r="A35" s="7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P35" s="136"/>
      <c r="Q35" s="137"/>
      <c r="R35" s="137"/>
      <c r="S35" s="137"/>
      <c r="T35" s="137"/>
      <c r="U35" s="137"/>
      <c r="V35" s="137"/>
      <c r="W35" s="137"/>
      <c r="X35" s="138"/>
      <c r="Y35" s="136"/>
      <c r="Z35" s="137"/>
      <c r="AA35" s="137"/>
      <c r="AB35" s="137"/>
      <c r="AC35" s="137"/>
      <c r="AD35" s="137"/>
      <c r="AE35" s="137"/>
      <c r="AF35" s="138"/>
    </row>
    <row r="36" spans="1:32" ht="15.75" thickTop="1" x14ac:dyDescent="0.25">
      <c r="P36" s="258"/>
      <c r="Q36" s="259"/>
      <c r="R36" s="259"/>
      <c r="S36" s="259"/>
      <c r="T36" s="259"/>
      <c r="U36" s="259"/>
      <c r="V36" s="259"/>
      <c r="W36" s="259"/>
      <c r="X36" s="255"/>
      <c r="Y36" s="258"/>
      <c r="Z36" s="259"/>
      <c r="AA36" s="259"/>
      <c r="AB36" s="259"/>
      <c r="AC36" s="259"/>
      <c r="AD36" s="259"/>
      <c r="AE36" s="259"/>
      <c r="AF36" s="255"/>
    </row>
    <row r="37" spans="1:32" ht="19.5" x14ac:dyDescent="0.3">
      <c r="A37" s="35" t="s">
        <v>221</v>
      </c>
      <c r="P37" s="199"/>
      <c r="Q37" s="264" t="str">
        <f>A37</f>
        <v>Capital Expenditure - Impact on Cash Flow</v>
      </c>
      <c r="X37" s="200"/>
      <c r="Y37" s="199"/>
      <c r="Z37" s="253"/>
      <c r="AF37" s="200"/>
    </row>
    <row r="38" spans="1:32" ht="17.25" x14ac:dyDescent="0.3">
      <c r="A38" s="31"/>
      <c r="B38" s="306" t="s">
        <v>222</v>
      </c>
      <c r="C38" s="307"/>
      <c r="D38" s="307"/>
      <c r="E38" s="307"/>
      <c r="F38" s="307"/>
      <c r="G38" s="307"/>
      <c r="H38" s="307"/>
      <c r="I38" s="308"/>
      <c r="J38" s="281"/>
      <c r="K38" s="309" t="s">
        <v>223</v>
      </c>
      <c r="L38" s="310"/>
      <c r="M38" s="310"/>
      <c r="N38" s="311"/>
      <c r="P38" s="199"/>
      <c r="Q38" s="253" t="s">
        <v>199</v>
      </c>
      <c r="X38" s="200"/>
      <c r="Y38" s="199"/>
      <c r="AF38" s="200"/>
    </row>
    <row r="39" spans="1:32" x14ac:dyDescent="0.25">
      <c r="A39" s="31"/>
      <c r="B39" s="312" t="s">
        <v>193</v>
      </c>
      <c r="C39" s="313"/>
      <c r="D39" s="313"/>
      <c r="E39" s="314"/>
      <c r="F39" s="315" t="s">
        <v>194</v>
      </c>
      <c r="G39" s="313"/>
      <c r="H39" s="313"/>
      <c r="I39" s="316"/>
      <c r="J39" s="281"/>
      <c r="K39" s="97" t="s">
        <v>135</v>
      </c>
      <c r="L39" s="98" t="s">
        <v>136</v>
      </c>
      <c r="M39" s="98" t="s">
        <v>137</v>
      </c>
      <c r="N39" s="99" t="s">
        <v>225</v>
      </c>
      <c r="P39" s="199"/>
      <c r="R39" s="309" t="s">
        <v>200</v>
      </c>
      <c r="S39" s="310"/>
      <c r="T39" s="310"/>
      <c r="U39" s="310"/>
      <c r="V39" s="310"/>
      <c r="W39" s="311"/>
      <c r="X39" s="200"/>
      <c r="Y39" s="199"/>
      <c r="AF39" s="200"/>
    </row>
    <row r="40" spans="1:32" x14ac:dyDescent="0.25">
      <c r="A40" s="51"/>
      <c r="B40" s="93">
        <f>StartDate</f>
        <v>43831</v>
      </c>
      <c r="C40" s="52">
        <f>EDATE(B40,3)</f>
        <v>43922</v>
      </c>
      <c r="D40" s="52">
        <f t="shared" ref="D40" si="23">EDATE(C40,3)</f>
        <v>44013</v>
      </c>
      <c r="E40" s="52">
        <f t="shared" ref="E40" si="24">EDATE(D40,3)</f>
        <v>44105</v>
      </c>
      <c r="F40" s="52">
        <f t="shared" ref="F40" si="25">EDATE(E40,3)</f>
        <v>44197</v>
      </c>
      <c r="G40" s="52">
        <f t="shared" ref="G40" si="26">EDATE(F40,3)</f>
        <v>44287</v>
      </c>
      <c r="H40" s="52">
        <f t="shared" ref="H40" si="27">EDATE(G40,3)</f>
        <v>44378</v>
      </c>
      <c r="I40" s="89">
        <f t="shared" ref="I40" si="28">EDATE(H40,3)</f>
        <v>44470</v>
      </c>
      <c r="J40" s="281"/>
      <c r="K40" s="93">
        <f>EDATE(I40,3)</f>
        <v>44562</v>
      </c>
      <c r="L40" s="52">
        <f t="shared" ref="L40" si="29">EDATE(K40,12)</f>
        <v>44927</v>
      </c>
      <c r="M40" s="52">
        <f t="shared" ref="M40:N40" si="30">EDATE(L40,12)</f>
        <v>45292</v>
      </c>
      <c r="N40" s="96">
        <f t="shared" si="30"/>
        <v>45658</v>
      </c>
      <c r="P40" s="199"/>
      <c r="R40" s="97" t="s">
        <v>193</v>
      </c>
      <c r="S40" s="98" t="s">
        <v>194</v>
      </c>
      <c r="T40" s="98" t="s">
        <v>135</v>
      </c>
      <c r="U40" s="98" t="s">
        <v>136</v>
      </c>
      <c r="V40" s="98" t="s">
        <v>137</v>
      </c>
      <c r="W40" s="99" t="s">
        <v>225</v>
      </c>
      <c r="X40" s="200"/>
      <c r="Y40" s="199"/>
      <c r="AF40" s="200"/>
    </row>
    <row r="41" spans="1:32" x14ac:dyDescent="0.25">
      <c r="A41" s="36" t="str">
        <f t="shared" ref="A41:A49" si="31">A6</f>
        <v>Lab Tools</v>
      </c>
      <c r="B41" s="174">
        <f t="shared" ref="B41:M41" si="32">IF(B$40=$C6,$B6,IF(B$40=EDATE($C6,12*$D6),$E6*-1,IF($C6&gt;B$40,IF($C6&lt;C$40,$B6,0),IF(EDATE($C6,12*$D6)&gt;C$40,0,IF(EDATE($C6,12*$D6)&gt;B$40,IF(EDATE($C6,12*$D6)&lt;C$40,$E6*-1,0),0)))))</f>
        <v>0</v>
      </c>
      <c r="C41" s="75">
        <f t="shared" si="32"/>
        <v>0</v>
      </c>
      <c r="D41" s="75">
        <f t="shared" si="32"/>
        <v>6000</v>
      </c>
      <c r="E41" s="75">
        <f t="shared" si="32"/>
        <v>0</v>
      </c>
      <c r="F41" s="75">
        <f t="shared" si="32"/>
        <v>0</v>
      </c>
      <c r="G41" s="75">
        <f t="shared" si="32"/>
        <v>0</v>
      </c>
      <c r="H41" s="75">
        <f t="shared" si="32"/>
        <v>0</v>
      </c>
      <c r="I41" s="175">
        <f t="shared" ref="I41:I51" si="33">IF(I$40=$C6,$B6,IF(I$40=EDATE($C6,12*$D6),$E6*-1,IF($C6&gt;I$40,IF($C6&lt;K$40,$B6,0),IF(EDATE($C6,12*$D6)&gt;K$40,0,IF(EDATE($C6,12*$D6)&gt;I$40,IF(EDATE($C6,12*$D6)&lt;K$40,$E6*-1,0),0)))))</f>
        <v>0</v>
      </c>
      <c r="J41" s="281"/>
      <c r="K41" s="174">
        <f t="shared" si="32"/>
        <v>0</v>
      </c>
      <c r="L41" s="75">
        <f t="shared" si="32"/>
        <v>0</v>
      </c>
      <c r="M41" s="75">
        <f t="shared" si="32"/>
        <v>0</v>
      </c>
      <c r="N41" s="175">
        <f t="shared" ref="N41:N48" si="34">IF(N$40=$C6,$B6,IF(N$40=EDATE($C6,12*$D6),$E6*-1,IF($C6&gt;N$40,IF($C6&lt;EDATE(N$40,12),$B6,0),IF(EDATE($C6,12*$D6)&gt;EDATE(N$40,12),0,IF(EDATE($C6,12*$D6)&gt;N$40,IF(EDATE($C6,12*$D6)&lt;EDATE(N$40,12),$E6*-1,0),0)))))</f>
        <v>0</v>
      </c>
      <c r="P41" s="199"/>
      <c r="R41" s="93">
        <f>B40</f>
        <v>43831</v>
      </c>
      <c r="S41" s="52">
        <f>F40</f>
        <v>44197</v>
      </c>
      <c r="T41" s="52">
        <f t="shared" ref="T41:T51" si="35">K40</f>
        <v>44562</v>
      </c>
      <c r="U41" s="52">
        <f t="shared" ref="U41:U51" si="36">L40</f>
        <v>44927</v>
      </c>
      <c r="V41" s="52">
        <f t="shared" ref="V41:V51" si="37">M40</f>
        <v>45292</v>
      </c>
      <c r="W41" s="96">
        <f t="shared" ref="W41:W51" si="38">N40</f>
        <v>45658</v>
      </c>
      <c r="X41" s="200"/>
      <c r="Y41" s="199"/>
      <c r="AF41" s="200"/>
    </row>
    <row r="42" spans="1:32" x14ac:dyDescent="0.25">
      <c r="A42" s="36" t="str">
        <f t="shared" si="31"/>
        <v>Product Testing Unit</v>
      </c>
      <c r="B42" s="174">
        <f t="shared" ref="B42:M42" si="39">IF(B$40=$C7,$B7,IF(B$40=EDATE($C7,12*$D7),$E7*-1,IF($C7&gt;B$40,IF($C7&lt;C$40,$B7,0),IF(EDATE($C7,12*$D7)&gt;C$40,0,IF(EDATE($C7,12*$D7)&gt;B$40,IF(EDATE($C7,12*$D7)&lt;C$40,$E7*-1,0),0)))))</f>
        <v>0</v>
      </c>
      <c r="C42" s="75">
        <f t="shared" si="39"/>
        <v>0</v>
      </c>
      <c r="D42" s="75">
        <f t="shared" si="39"/>
        <v>0</v>
      </c>
      <c r="E42" s="75">
        <f t="shared" si="39"/>
        <v>20000</v>
      </c>
      <c r="F42" s="75">
        <f t="shared" si="39"/>
        <v>0</v>
      </c>
      <c r="G42" s="75">
        <f t="shared" si="39"/>
        <v>0</v>
      </c>
      <c r="H42" s="75">
        <f t="shared" si="39"/>
        <v>0</v>
      </c>
      <c r="I42" s="175">
        <f t="shared" si="33"/>
        <v>0</v>
      </c>
      <c r="J42" s="281"/>
      <c r="K42" s="174">
        <f t="shared" si="39"/>
        <v>0</v>
      </c>
      <c r="L42" s="75">
        <f t="shared" si="39"/>
        <v>0</v>
      </c>
      <c r="M42" s="75">
        <f t="shared" si="39"/>
        <v>0</v>
      </c>
      <c r="N42" s="175">
        <f t="shared" si="34"/>
        <v>0</v>
      </c>
      <c r="P42" s="199"/>
      <c r="Q42" s="36" t="str">
        <f t="shared" ref="Q42:Q51" si="40">A41</f>
        <v>Lab Tools</v>
      </c>
      <c r="R42" s="94">
        <f t="shared" ref="R42:R51" si="41">SUM(B41:E41)</f>
        <v>6000</v>
      </c>
      <c r="S42" s="87">
        <f t="shared" ref="S42:S51" si="42">SUM(F41:I41)</f>
        <v>0</v>
      </c>
      <c r="T42" s="87">
        <f t="shared" si="35"/>
        <v>0</v>
      </c>
      <c r="U42" s="87">
        <f t="shared" si="36"/>
        <v>0</v>
      </c>
      <c r="V42" s="87">
        <f t="shared" si="37"/>
        <v>0</v>
      </c>
      <c r="W42" s="90">
        <f t="shared" si="38"/>
        <v>0</v>
      </c>
      <c r="X42" s="200"/>
      <c r="Y42" s="199"/>
      <c r="AF42" s="200"/>
    </row>
    <row r="43" spans="1:32" x14ac:dyDescent="0.25">
      <c r="A43" s="36" t="str">
        <f t="shared" si="31"/>
        <v>Office Furniture</v>
      </c>
      <c r="B43" s="174">
        <f t="shared" ref="B43:M43" si="43">IF(B$40=$C8,$B8,IF(B$40=EDATE($C8,12*$D8),$E8*-1,IF($C8&gt;B$40,IF($C8&lt;C$40,$B8,0),IF(EDATE($C8,12*$D8)&gt;C$40,0,IF(EDATE($C8,12*$D8)&gt;B$40,IF(EDATE($C8,12*$D8)&lt;C$40,$E8*-1,0),0)))))</f>
        <v>0</v>
      </c>
      <c r="C43" s="75">
        <f t="shared" si="43"/>
        <v>0</v>
      </c>
      <c r="D43" s="75">
        <f t="shared" si="43"/>
        <v>0</v>
      </c>
      <c r="E43" s="75">
        <f t="shared" si="43"/>
        <v>3000</v>
      </c>
      <c r="F43" s="75">
        <f t="shared" si="43"/>
        <v>0</v>
      </c>
      <c r="G43" s="75">
        <f t="shared" si="43"/>
        <v>0</v>
      </c>
      <c r="H43" s="75">
        <f t="shared" si="43"/>
        <v>0</v>
      </c>
      <c r="I43" s="175">
        <f t="shared" si="33"/>
        <v>0</v>
      </c>
      <c r="J43" s="281"/>
      <c r="K43" s="174">
        <f t="shared" si="43"/>
        <v>0</v>
      </c>
      <c r="L43" s="75">
        <f t="shared" si="43"/>
        <v>0</v>
      </c>
      <c r="M43" s="75">
        <f t="shared" si="43"/>
        <v>0</v>
      </c>
      <c r="N43" s="175">
        <f t="shared" si="34"/>
        <v>0</v>
      </c>
      <c r="P43" s="199"/>
      <c r="Q43" s="36" t="str">
        <f t="shared" si="40"/>
        <v>Product Testing Unit</v>
      </c>
      <c r="R43" s="94">
        <f t="shared" si="41"/>
        <v>20000</v>
      </c>
      <c r="S43" s="87">
        <f t="shared" si="42"/>
        <v>0</v>
      </c>
      <c r="T43" s="87">
        <f t="shared" si="35"/>
        <v>0</v>
      </c>
      <c r="U43" s="87">
        <f t="shared" si="36"/>
        <v>0</v>
      </c>
      <c r="V43" s="87">
        <f t="shared" si="37"/>
        <v>0</v>
      </c>
      <c r="W43" s="90">
        <f t="shared" si="38"/>
        <v>0</v>
      </c>
      <c r="X43" s="200"/>
      <c r="Y43" s="199"/>
      <c r="AF43" s="200"/>
    </row>
    <row r="44" spans="1:32" x14ac:dyDescent="0.25">
      <c r="A44" s="36" t="str">
        <f t="shared" si="31"/>
        <v>Company Vehicle</v>
      </c>
      <c r="B44" s="174">
        <f t="shared" ref="B44:M44" si="44">IF(B$40=$C9,$B9,IF(B$40=EDATE($C9,12*$D9),$E9*-1,IF($C9&gt;B$40,IF($C9&lt;C$40,$B9,0),IF(EDATE($C9,12*$D9)&gt;C$40,0,IF(EDATE($C9,12*$D9)&gt;B$40,IF(EDATE($C9,12*$D9)&lt;C$40,$E9*-1,0),0)))))</f>
        <v>0</v>
      </c>
      <c r="C44" s="75">
        <f t="shared" si="44"/>
        <v>0</v>
      </c>
      <c r="D44" s="75">
        <f t="shared" si="44"/>
        <v>0</v>
      </c>
      <c r="E44" s="75">
        <f t="shared" si="44"/>
        <v>0</v>
      </c>
      <c r="F44" s="75">
        <f t="shared" si="44"/>
        <v>0</v>
      </c>
      <c r="G44" s="75">
        <f t="shared" si="44"/>
        <v>35000</v>
      </c>
      <c r="H44" s="75">
        <f t="shared" si="44"/>
        <v>0</v>
      </c>
      <c r="I44" s="175">
        <f t="shared" si="33"/>
        <v>0</v>
      </c>
      <c r="J44" s="281"/>
      <c r="K44" s="174">
        <f t="shared" si="44"/>
        <v>0</v>
      </c>
      <c r="L44" s="75">
        <f t="shared" si="44"/>
        <v>0</v>
      </c>
      <c r="M44" s="75">
        <f t="shared" si="44"/>
        <v>0</v>
      </c>
      <c r="N44" s="175">
        <f t="shared" si="34"/>
        <v>0</v>
      </c>
      <c r="P44" s="199"/>
      <c r="Q44" s="36" t="str">
        <f t="shared" si="40"/>
        <v>Office Furniture</v>
      </c>
      <c r="R44" s="94">
        <f t="shared" si="41"/>
        <v>3000</v>
      </c>
      <c r="S44" s="87">
        <f t="shared" si="42"/>
        <v>0</v>
      </c>
      <c r="T44" s="87">
        <f t="shared" si="35"/>
        <v>0</v>
      </c>
      <c r="U44" s="87">
        <f t="shared" si="36"/>
        <v>0</v>
      </c>
      <c r="V44" s="87">
        <f t="shared" si="37"/>
        <v>0</v>
      </c>
      <c r="W44" s="90">
        <f t="shared" si="38"/>
        <v>0</v>
      </c>
      <c r="X44" s="200"/>
      <c r="Y44" s="199"/>
      <c r="AF44" s="200"/>
    </row>
    <row r="45" spans="1:32" x14ac:dyDescent="0.25">
      <c r="A45" s="36" t="str">
        <f t="shared" si="31"/>
        <v>High Cap. Testing Unit</v>
      </c>
      <c r="B45" s="174">
        <f t="shared" ref="B45:M45" si="45">IF(B$40=$C10,$B10,IF(B$40=EDATE($C10,12*$D10),$E10*-1,IF($C10&gt;B$40,IF($C10&lt;C$40,$B10,0),IF(EDATE($C10,12*$D10)&gt;C$40,0,IF(EDATE($C10,12*$D10)&gt;B$40,IF(EDATE($C10,12*$D10)&lt;C$40,$E10*-1,0),0)))))</f>
        <v>0</v>
      </c>
      <c r="C45" s="75">
        <f t="shared" si="45"/>
        <v>0</v>
      </c>
      <c r="D45" s="75">
        <f t="shared" si="45"/>
        <v>0</v>
      </c>
      <c r="E45" s="75">
        <f t="shared" si="45"/>
        <v>0</v>
      </c>
      <c r="F45" s="75">
        <f t="shared" si="45"/>
        <v>0</v>
      </c>
      <c r="G45" s="75">
        <f t="shared" si="45"/>
        <v>0</v>
      </c>
      <c r="H45" s="75">
        <f t="shared" si="45"/>
        <v>55000</v>
      </c>
      <c r="I45" s="175">
        <f t="shared" si="33"/>
        <v>0</v>
      </c>
      <c r="J45" s="281"/>
      <c r="K45" s="174">
        <f t="shared" si="45"/>
        <v>0</v>
      </c>
      <c r="L45" s="75">
        <f t="shared" si="45"/>
        <v>0</v>
      </c>
      <c r="M45" s="75">
        <f t="shared" si="45"/>
        <v>0</v>
      </c>
      <c r="N45" s="175">
        <f t="shared" si="34"/>
        <v>0</v>
      </c>
      <c r="P45" s="199"/>
      <c r="Q45" s="36" t="str">
        <f t="shared" si="40"/>
        <v>Company Vehicle</v>
      </c>
      <c r="R45" s="94">
        <f t="shared" si="41"/>
        <v>0</v>
      </c>
      <c r="S45" s="87">
        <f t="shared" si="42"/>
        <v>35000</v>
      </c>
      <c r="T45" s="87">
        <f t="shared" si="35"/>
        <v>0</v>
      </c>
      <c r="U45" s="87">
        <f t="shared" si="36"/>
        <v>0</v>
      </c>
      <c r="V45" s="87">
        <f t="shared" si="37"/>
        <v>0</v>
      </c>
      <c r="W45" s="90">
        <f t="shared" si="38"/>
        <v>0</v>
      </c>
      <c r="X45" s="200"/>
      <c r="Y45" s="199"/>
      <c r="AF45" s="200"/>
    </row>
    <row r="46" spans="1:32" x14ac:dyDescent="0.25">
      <c r="A46" s="36" t="str">
        <f t="shared" si="31"/>
        <v>Office Furniture</v>
      </c>
      <c r="B46" s="174">
        <f t="shared" ref="B46:M46" si="46">IF(B$40=$C11,$B11,IF(B$40=EDATE($C11,12*$D11),$E11*-1,IF($C11&gt;B$40,IF($C11&lt;C$40,$B11,0),IF(EDATE($C11,12*$D11)&gt;C$40,0,IF(EDATE($C11,12*$D11)&gt;B$40,IF(EDATE($C11,12*$D11)&lt;C$40,$E11*-1,0),0)))))</f>
        <v>0</v>
      </c>
      <c r="C46" s="75">
        <f t="shared" si="46"/>
        <v>0</v>
      </c>
      <c r="D46" s="75">
        <f t="shared" si="46"/>
        <v>0</v>
      </c>
      <c r="E46" s="75">
        <f t="shared" si="46"/>
        <v>0</v>
      </c>
      <c r="F46" s="75">
        <f t="shared" si="46"/>
        <v>0</v>
      </c>
      <c r="G46" s="75">
        <f t="shared" si="46"/>
        <v>0</v>
      </c>
      <c r="H46" s="75">
        <f t="shared" si="46"/>
        <v>8000</v>
      </c>
      <c r="I46" s="175">
        <f t="shared" si="33"/>
        <v>0</v>
      </c>
      <c r="J46" s="281"/>
      <c r="K46" s="174">
        <f t="shared" si="46"/>
        <v>0</v>
      </c>
      <c r="L46" s="75">
        <f t="shared" si="46"/>
        <v>0</v>
      </c>
      <c r="M46" s="75">
        <f t="shared" si="46"/>
        <v>0</v>
      </c>
      <c r="N46" s="175">
        <f t="shared" si="34"/>
        <v>0</v>
      </c>
      <c r="P46" s="199"/>
      <c r="Q46" s="36" t="str">
        <f t="shared" si="40"/>
        <v>High Cap. Testing Unit</v>
      </c>
      <c r="R46" s="94">
        <f t="shared" si="41"/>
        <v>0</v>
      </c>
      <c r="S46" s="87">
        <f t="shared" si="42"/>
        <v>55000</v>
      </c>
      <c r="T46" s="87">
        <f t="shared" si="35"/>
        <v>0</v>
      </c>
      <c r="U46" s="87">
        <f t="shared" si="36"/>
        <v>0</v>
      </c>
      <c r="V46" s="87">
        <f t="shared" si="37"/>
        <v>0</v>
      </c>
      <c r="W46" s="90">
        <f t="shared" si="38"/>
        <v>0</v>
      </c>
      <c r="X46" s="200"/>
      <c r="Y46" s="199"/>
      <c r="AF46" s="200"/>
    </row>
    <row r="47" spans="1:32" x14ac:dyDescent="0.25">
      <c r="A47" s="36" t="str">
        <f t="shared" si="31"/>
        <v>Storage Racks</v>
      </c>
      <c r="B47" s="174">
        <f t="shared" ref="B47:M47" si="47">IF(B$40=$C12,$B12,IF(B$40=EDATE($C12,12*$D12),$E12*-1,IF($C12&gt;B$40,IF($C12&lt;C$40,$B12,0),IF(EDATE($C12,12*$D12)&gt;C$40,0,IF(EDATE($C12,12*$D12)&gt;B$40,IF(EDATE($C12,12*$D12)&lt;C$40,$E12*-1,0),0)))))</f>
        <v>0</v>
      </c>
      <c r="C47" s="75">
        <f t="shared" si="47"/>
        <v>0</v>
      </c>
      <c r="D47" s="75">
        <f t="shared" si="47"/>
        <v>0</v>
      </c>
      <c r="E47" s="75">
        <f t="shared" si="47"/>
        <v>0</v>
      </c>
      <c r="F47" s="75">
        <f t="shared" si="47"/>
        <v>0</v>
      </c>
      <c r="G47" s="75">
        <f t="shared" si="47"/>
        <v>0</v>
      </c>
      <c r="H47" s="75">
        <f t="shared" si="47"/>
        <v>0</v>
      </c>
      <c r="I47" s="175">
        <f t="shared" si="33"/>
        <v>0</v>
      </c>
      <c r="J47" s="281"/>
      <c r="K47" s="174">
        <f t="shared" si="47"/>
        <v>3000</v>
      </c>
      <c r="L47" s="75">
        <f t="shared" si="47"/>
        <v>0</v>
      </c>
      <c r="M47" s="75">
        <f t="shared" si="47"/>
        <v>0</v>
      </c>
      <c r="N47" s="175">
        <f t="shared" si="34"/>
        <v>0</v>
      </c>
      <c r="P47" s="199"/>
      <c r="Q47" s="36" t="str">
        <f t="shared" si="40"/>
        <v>Office Furniture</v>
      </c>
      <c r="R47" s="94">
        <f t="shared" si="41"/>
        <v>0</v>
      </c>
      <c r="S47" s="87">
        <f t="shared" si="42"/>
        <v>8000</v>
      </c>
      <c r="T47" s="87">
        <f t="shared" si="35"/>
        <v>0</v>
      </c>
      <c r="U47" s="87">
        <f t="shared" si="36"/>
        <v>0</v>
      </c>
      <c r="V47" s="87">
        <f t="shared" si="37"/>
        <v>0</v>
      </c>
      <c r="W47" s="90">
        <f t="shared" si="38"/>
        <v>0</v>
      </c>
      <c r="X47" s="200"/>
      <c r="Y47" s="199"/>
      <c r="AF47" s="200"/>
    </row>
    <row r="48" spans="1:32" x14ac:dyDescent="0.25">
      <c r="A48" s="36" t="str">
        <f t="shared" si="31"/>
        <v>New Lab Tools</v>
      </c>
      <c r="B48" s="174">
        <f t="shared" ref="B48:M48" si="48">IF(B$40=$C13,$B13,IF(B$40=EDATE($C13,12*$D13),$E13*-1,IF($C13&gt;B$40,IF($C13&lt;C$40,$B13,0),IF(EDATE($C13,12*$D13)&gt;C$40,0,IF(EDATE($C13,12*$D13)&gt;B$40,IF(EDATE($C13,12*$D13)&lt;C$40,$E13*-1,0),0)))))</f>
        <v>0</v>
      </c>
      <c r="C48" s="75">
        <f t="shared" si="48"/>
        <v>0</v>
      </c>
      <c r="D48" s="75">
        <f t="shared" si="48"/>
        <v>0</v>
      </c>
      <c r="E48" s="75">
        <f t="shared" si="48"/>
        <v>0</v>
      </c>
      <c r="F48" s="75">
        <f t="shared" si="48"/>
        <v>0</v>
      </c>
      <c r="G48" s="75">
        <f t="shared" si="48"/>
        <v>0</v>
      </c>
      <c r="H48" s="75">
        <f t="shared" si="48"/>
        <v>0</v>
      </c>
      <c r="I48" s="175">
        <f t="shared" si="33"/>
        <v>0</v>
      </c>
      <c r="J48" s="281"/>
      <c r="K48" s="174">
        <f t="shared" si="48"/>
        <v>0</v>
      </c>
      <c r="L48" s="75">
        <f t="shared" si="48"/>
        <v>15000</v>
      </c>
      <c r="M48" s="75">
        <f t="shared" si="48"/>
        <v>0</v>
      </c>
      <c r="N48" s="175">
        <f t="shared" si="34"/>
        <v>0</v>
      </c>
      <c r="P48" s="199"/>
      <c r="Q48" t="str">
        <f t="shared" si="40"/>
        <v>Storage Racks</v>
      </c>
      <c r="R48" s="94">
        <f t="shared" si="41"/>
        <v>0</v>
      </c>
      <c r="S48" s="87">
        <f t="shared" si="42"/>
        <v>0</v>
      </c>
      <c r="T48" s="87">
        <f t="shared" si="35"/>
        <v>3000</v>
      </c>
      <c r="U48" s="87">
        <f t="shared" si="36"/>
        <v>0</v>
      </c>
      <c r="V48" s="87">
        <f t="shared" si="37"/>
        <v>0</v>
      </c>
      <c r="W48" s="90">
        <f t="shared" si="38"/>
        <v>0</v>
      </c>
      <c r="X48" s="200"/>
      <c r="Y48" s="199"/>
      <c r="AF48" s="200"/>
    </row>
    <row r="49" spans="1:32" x14ac:dyDescent="0.25">
      <c r="A49" s="36" t="str">
        <f t="shared" si="31"/>
        <v>Company Vehicle</v>
      </c>
      <c r="B49" s="174">
        <f t="shared" ref="B49:L49" si="49">IF(B$40=$C14,$B14,IF(B$40=EDATE($C14,12*$D14),$E14*-1,IF($C14&gt;B$40,IF($C14&lt;C$40,$B14,0),IF(EDATE($C14,12*$D14)&gt;C$40,0,IF(EDATE($C14,12*$D14)&gt;B$40,IF(EDATE($C14,12*$D14)&lt;C$40,$E14*-1,0),0)))))</f>
        <v>0</v>
      </c>
      <c r="C49" s="75">
        <f t="shared" si="49"/>
        <v>0</v>
      </c>
      <c r="D49" s="75">
        <f t="shared" si="49"/>
        <v>0</v>
      </c>
      <c r="E49" s="75">
        <f t="shared" si="49"/>
        <v>0</v>
      </c>
      <c r="F49" s="75">
        <f t="shared" si="49"/>
        <v>0</v>
      </c>
      <c r="G49" s="75">
        <f t="shared" si="49"/>
        <v>0</v>
      </c>
      <c r="H49" s="75">
        <f t="shared" si="49"/>
        <v>0</v>
      </c>
      <c r="I49" s="175">
        <f t="shared" si="33"/>
        <v>0</v>
      </c>
      <c r="J49" s="281"/>
      <c r="K49" s="174">
        <f t="shared" si="49"/>
        <v>0</v>
      </c>
      <c r="L49" s="75">
        <f t="shared" si="49"/>
        <v>0</v>
      </c>
      <c r="M49" s="75">
        <f>IF(M$40=$C14,$B14,IF(M$40=EDATE($C14,12*$D14),$E14*-1,IF($C14&gt;M$40,IF($C14&lt;N$40,$B14,0),IF(EDATE($C14,12*$D14)&gt;N$40,0,IF(EDATE($C14,12*$D14)&gt;M$40,IF(EDATE($C14,12*$D14)&lt;N$40,$E14*-1,0),0)))))</f>
        <v>0</v>
      </c>
      <c r="N49" s="175">
        <f>IF(N$40=$C14,$B14,IF(N$40=EDATE($C14,12*$D14),$E14*-1,IF($C14&gt;N$40,IF($C14&lt;EDATE(N$40,12),$B14,0),IF(EDATE($C14,12*$D14)&gt;EDATE(N$40,12),0,IF(EDATE($C14,12*$D14)&gt;N$40,IF(EDATE($C14,12*$D14)&lt;EDATE(N$40,12),$E14*-1,0),0)))))</f>
        <v>45000</v>
      </c>
      <c r="P49" s="199"/>
      <c r="Q49" t="str">
        <f t="shared" si="40"/>
        <v>New Lab Tools</v>
      </c>
      <c r="R49" s="94">
        <f t="shared" si="41"/>
        <v>0</v>
      </c>
      <c r="S49" s="87">
        <f t="shared" si="42"/>
        <v>0</v>
      </c>
      <c r="T49" s="87">
        <f t="shared" si="35"/>
        <v>0</v>
      </c>
      <c r="U49" s="87">
        <f t="shared" si="36"/>
        <v>15000</v>
      </c>
      <c r="V49" s="87">
        <f t="shared" si="37"/>
        <v>0</v>
      </c>
      <c r="W49" s="90">
        <f t="shared" si="38"/>
        <v>0</v>
      </c>
      <c r="X49" s="200"/>
      <c r="Y49" s="199"/>
      <c r="AF49" s="200"/>
    </row>
    <row r="50" spans="1:32" x14ac:dyDescent="0.25">
      <c r="A50" s="36" t="s">
        <v>283</v>
      </c>
      <c r="B50" s="174">
        <f t="shared" ref="B50:M50" si="50">IF(B$40=$C15,$B15,IF(B$40=EDATE($C15,12*$D15),$E15*-1,IF($C15&gt;B$40,IF($C15&lt;C$40,$B15,0),IF(EDATE($C15,12*$D15)&gt;C$40,0,IF(EDATE($C15,12*$D15)&gt;B$40,IF(EDATE($C15,12*$D15)&lt;C$40,$E15*-1,0),0)))))</f>
        <v>0</v>
      </c>
      <c r="C50" s="75">
        <f t="shared" si="50"/>
        <v>0</v>
      </c>
      <c r="D50" s="75">
        <f t="shared" si="50"/>
        <v>0</v>
      </c>
      <c r="E50" s="75">
        <f t="shared" si="50"/>
        <v>0</v>
      </c>
      <c r="F50" s="75">
        <f t="shared" si="50"/>
        <v>0</v>
      </c>
      <c r="G50" s="75">
        <f t="shared" si="50"/>
        <v>0</v>
      </c>
      <c r="H50" s="75">
        <f t="shared" si="50"/>
        <v>0</v>
      </c>
      <c r="I50" s="175">
        <f t="shared" si="33"/>
        <v>0</v>
      </c>
      <c r="J50" s="281"/>
      <c r="K50" s="174">
        <f t="shared" si="50"/>
        <v>0</v>
      </c>
      <c r="L50" s="75">
        <f t="shared" si="50"/>
        <v>0</v>
      </c>
      <c r="M50" s="75">
        <f t="shared" si="50"/>
        <v>0</v>
      </c>
      <c r="N50" s="175">
        <f t="shared" ref="N50:N51" si="51">IF(N$40=$C15,$B15,IF(N$40=EDATE($C15,12*$D15),$E15*-1,IF($C15&gt;N$40,IF($C15&lt;EDATE(N$40,12),$B15,0),IF(EDATE($C15,12*$D15)&gt;EDATE(N$40,12),0,IF(EDATE($C15,12*$D15)&gt;N$40,IF(EDATE($C15,12*$D15)&lt;EDATE(N$40,12),$E15*-1,0),0)))))</f>
        <v>0</v>
      </c>
      <c r="P50" s="199"/>
      <c r="Q50" t="str">
        <f t="shared" si="40"/>
        <v>Company Vehicle</v>
      </c>
      <c r="R50" s="94">
        <f t="shared" si="41"/>
        <v>0</v>
      </c>
      <c r="S50" s="87">
        <f t="shared" si="42"/>
        <v>0</v>
      </c>
      <c r="T50" s="87">
        <f t="shared" si="35"/>
        <v>0</v>
      </c>
      <c r="U50" s="87">
        <f t="shared" si="36"/>
        <v>0</v>
      </c>
      <c r="V50" s="87">
        <f t="shared" si="37"/>
        <v>0</v>
      </c>
      <c r="W50" s="90">
        <f t="shared" si="38"/>
        <v>45000</v>
      </c>
      <c r="X50" s="200"/>
      <c r="Y50" s="199"/>
      <c r="AF50" s="200"/>
    </row>
    <row r="51" spans="1:32" ht="15.75" thickBot="1" x14ac:dyDescent="0.3">
      <c r="A51" s="36" t="s">
        <v>283</v>
      </c>
      <c r="B51" s="174">
        <f t="shared" ref="B51:M51" si="52">IF(B$40=$C16,$B16,IF(B$40=EDATE($C16,12*$D16),$E16*-1,IF($C16&gt;B$40,IF($C16&lt;C$40,$B16,0),IF(EDATE($C16,12*$D16)&gt;C$40,0,IF(EDATE($C16,12*$D16)&gt;B$40,IF(EDATE($C16,12*$D16)&lt;C$40,$E16*-1,0),0)))))</f>
        <v>0</v>
      </c>
      <c r="C51" s="75">
        <f t="shared" si="52"/>
        <v>0</v>
      </c>
      <c r="D51" s="75">
        <f t="shared" si="52"/>
        <v>0</v>
      </c>
      <c r="E51" s="75">
        <f t="shared" si="52"/>
        <v>0</v>
      </c>
      <c r="F51" s="75">
        <f t="shared" si="52"/>
        <v>0</v>
      </c>
      <c r="G51" s="75">
        <f t="shared" si="52"/>
        <v>0</v>
      </c>
      <c r="H51" s="75">
        <f t="shared" si="52"/>
        <v>0</v>
      </c>
      <c r="I51" s="175">
        <f t="shared" si="33"/>
        <v>0</v>
      </c>
      <c r="J51" s="281"/>
      <c r="K51" s="174">
        <f t="shared" si="52"/>
        <v>0</v>
      </c>
      <c r="L51" s="75">
        <f t="shared" si="52"/>
        <v>0</v>
      </c>
      <c r="M51" s="75">
        <f t="shared" si="52"/>
        <v>0</v>
      </c>
      <c r="N51" s="175">
        <f t="shared" si="51"/>
        <v>0</v>
      </c>
      <c r="P51" s="199"/>
      <c r="Q51" s="36" t="str">
        <f t="shared" si="40"/>
        <v>Empty</v>
      </c>
      <c r="R51" s="95">
        <f t="shared" si="41"/>
        <v>0</v>
      </c>
      <c r="S51" s="88">
        <f t="shared" si="42"/>
        <v>0</v>
      </c>
      <c r="T51" s="88">
        <f t="shared" si="35"/>
        <v>0</v>
      </c>
      <c r="U51" s="88">
        <f t="shared" si="36"/>
        <v>0</v>
      </c>
      <c r="V51" s="88">
        <f t="shared" si="37"/>
        <v>0</v>
      </c>
      <c r="W51" s="91">
        <f t="shared" si="38"/>
        <v>0</v>
      </c>
      <c r="X51" s="200"/>
      <c r="Y51" s="199"/>
      <c r="AF51" s="200"/>
    </row>
    <row r="52" spans="1:32" ht="15.75" thickTop="1" x14ac:dyDescent="0.25">
      <c r="A52" s="73" t="s">
        <v>15</v>
      </c>
      <c r="B52" s="217">
        <f>SUM(B41:B51)</f>
        <v>0</v>
      </c>
      <c r="C52" s="218">
        <f t="shared" ref="C52:N52" si="53">SUM(C41:C51)</f>
        <v>0</v>
      </c>
      <c r="D52" s="218">
        <f t="shared" si="53"/>
        <v>6000</v>
      </c>
      <c r="E52" s="218">
        <f>SUM(E41:E51)</f>
        <v>23000</v>
      </c>
      <c r="F52" s="218">
        <f t="shared" si="53"/>
        <v>0</v>
      </c>
      <c r="G52" s="218">
        <f t="shared" si="53"/>
        <v>35000</v>
      </c>
      <c r="H52" s="218">
        <f t="shared" si="53"/>
        <v>63000</v>
      </c>
      <c r="I52" s="219">
        <f t="shared" si="53"/>
        <v>0</v>
      </c>
      <c r="J52" s="281"/>
      <c r="K52" s="217">
        <f t="shared" si="53"/>
        <v>3000</v>
      </c>
      <c r="L52" s="218">
        <f t="shared" si="53"/>
        <v>15000</v>
      </c>
      <c r="M52" s="218">
        <f t="shared" si="53"/>
        <v>0</v>
      </c>
      <c r="N52" s="219">
        <f t="shared" si="53"/>
        <v>45000</v>
      </c>
      <c r="P52" s="199"/>
      <c r="R52" s="74">
        <f>SUM(R42:R51)</f>
        <v>29000</v>
      </c>
      <c r="S52" s="74">
        <f t="shared" ref="S52:W52" si="54">SUM(S42:S51)</f>
        <v>98000</v>
      </c>
      <c r="T52" s="74">
        <f t="shared" si="54"/>
        <v>3000</v>
      </c>
      <c r="U52" s="74">
        <f t="shared" si="54"/>
        <v>15000</v>
      </c>
      <c r="V52" s="74">
        <f t="shared" si="54"/>
        <v>0</v>
      </c>
      <c r="W52" s="119">
        <f t="shared" si="54"/>
        <v>45000</v>
      </c>
      <c r="X52" s="200"/>
      <c r="Y52" s="199"/>
      <c r="AF52" s="200"/>
    </row>
    <row r="53" spans="1:32" ht="15.75" thickBot="1" x14ac:dyDescent="0.3">
      <c r="P53" s="199"/>
      <c r="X53" s="200"/>
      <c r="Y53" s="199"/>
      <c r="AF53" s="200"/>
    </row>
    <row r="54" spans="1:32" ht="15.75" thickTop="1" x14ac:dyDescent="0.25">
      <c r="P54" s="258"/>
      <c r="Q54" s="259"/>
      <c r="R54" s="259"/>
      <c r="S54" s="259"/>
      <c r="T54" s="259"/>
      <c r="U54" s="259"/>
      <c r="V54" s="259"/>
      <c r="W54" s="259"/>
      <c r="X54" s="255"/>
      <c r="Y54" s="258"/>
      <c r="Z54" s="259"/>
      <c r="AA54" s="259"/>
      <c r="AB54" s="259"/>
      <c r="AC54" s="259"/>
      <c r="AD54" s="259"/>
      <c r="AE54" s="259"/>
      <c r="AF54" s="255"/>
    </row>
    <row r="55" spans="1:32" ht="19.5" x14ac:dyDescent="0.3">
      <c r="A55" s="35" t="s">
        <v>73</v>
      </c>
      <c r="P55" s="199"/>
      <c r="Q55" s="264" t="str">
        <f>A55</f>
        <v>Capital Asset Value - Impact on Balance Sheet</v>
      </c>
      <c r="X55" s="200"/>
      <c r="Y55" s="199"/>
      <c r="Z55" s="253"/>
      <c r="AF55" s="200"/>
    </row>
    <row r="56" spans="1:32" ht="17.25" x14ac:dyDescent="0.3">
      <c r="A56" s="31"/>
      <c r="B56" s="306" t="s">
        <v>158</v>
      </c>
      <c r="C56" s="307"/>
      <c r="D56" s="307"/>
      <c r="E56" s="307"/>
      <c r="F56" s="307"/>
      <c r="G56" s="307"/>
      <c r="H56" s="307"/>
      <c r="I56" s="308"/>
      <c r="J56" s="281"/>
      <c r="K56" s="309" t="s">
        <v>159</v>
      </c>
      <c r="L56" s="310"/>
      <c r="M56" s="310"/>
      <c r="N56" s="311"/>
      <c r="P56" s="199"/>
      <c r="Q56" s="253" t="s">
        <v>199</v>
      </c>
      <c r="X56" s="200"/>
      <c r="Y56" s="199"/>
      <c r="AF56" s="200"/>
    </row>
    <row r="57" spans="1:32" x14ac:dyDescent="0.25">
      <c r="A57" s="31"/>
      <c r="B57" s="312" t="s">
        <v>193</v>
      </c>
      <c r="C57" s="313"/>
      <c r="D57" s="313"/>
      <c r="E57" s="314"/>
      <c r="F57" s="315" t="s">
        <v>194</v>
      </c>
      <c r="G57" s="313"/>
      <c r="H57" s="313"/>
      <c r="I57" s="316"/>
      <c r="J57" s="281"/>
      <c r="K57" s="97" t="s">
        <v>135</v>
      </c>
      <c r="L57" s="98" t="s">
        <v>136</v>
      </c>
      <c r="M57" s="98" t="s">
        <v>137</v>
      </c>
      <c r="N57" s="99" t="s">
        <v>225</v>
      </c>
      <c r="P57" s="199"/>
      <c r="R57" s="309" t="s">
        <v>200</v>
      </c>
      <c r="S57" s="310"/>
      <c r="T57" s="310"/>
      <c r="U57" s="310"/>
      <c r="V57" s="310"/>
      <c r="W57" s="311"/>
      <c r="X57" s="200"/>
      <c r="Y57" s="199"/>
      <c r="AF57" s="200"/>
    </row>
    <row r="58" spans="1:32" x14ac:dyDescent="0.25">
      <c r="A58" s="51"/>
      <c r="B58" s="93">
        <f>StartDate</f>
        <v>43831</v>
      </c>
      <c r="C58" s="52">
        <f>EDATE(B58,3)</f>
        <v>43922</v>
      </c>
      <c r="D58" s="52">
        <f t="shared" ref="D58" si="55">EDATE(C58,3)</f>
        <v>44013</v>
      </c>
      <c r="E58" s="52">
        <f t="shared" ref="E58" si="56">EDATE(D58,3)</f>
        <v>44105</v>
      </c>
      <c r="F58" s="52">
        <f t="shared" ref="F58" si="57">EDATE(E58,3)</f>
        <v>44197</v>
      </c>
      <c r="G58" s="52">
        <f t="shared" ref="G58" si="58">EDATE(F58,3)</f>
        <v>44287</v>
      </c>
      <c r="H58" s="52">
        <f t="shared" ref="H58" si="59">EDATE(G58,3)</f>
        <v>44378</v>
      </c>
      <c r="I58" s="89">
        <f t="shared" ref="I58" si="60">EDATE(H58,3)</f>
        <v>44470</v>
      </c>
      <c r="J58" s="281"/>
      <c r="K58" s="93">
        <f>EDATE(I58,3)</f>
        <v>44562</v>
      </c>
      <c r="L58" s="52">
        <f t="shared" ref="L58" si="61">EDATE(K58,12)</f>
        <v>44927</v>
      </c>
      <c r="M58" s="52">
        <f t="shared" ref="M58:N58" si="62">EDATE(L58,12)</f>
        <v>45292</v>
      </c>
      <c r="N58" s="96">
        <f t="shared" si="62"/>
        <v>45658</v>
      </c>
      <c r="P58" s="199"/>
      <c r="R58" s="97" t="s">
        <v>193</v>
      </c>
      <c r="S58" s="98" t="s">
        <v>194</v>
      </c>
      <c r="T58" s="98" t="s">
        <v>135</v>
      </c>
      <c r="U58" s="98" t="s">
        <v>136</v>
      </c>
      <c r="V58" s="98" t="s">
        <v>137</v>
      </c>
      <c r="W58" s="99" t="s">
        <v>225</v>
      </c>
      <c r="X58" s="200"/>
      <c r="Y58" s="199"/>
      <c r="AF58" s="200"/>
    </row>
    <row r="59" spans="1:32" x14ac:dyDescent="0.25">
      <c r="A59" s="36" t="str">
        <f t="shared" ref="A59:A69" si="63">A23</f>
        <v>Lab Tools</v>
      </c>
      <c r="B59" s="129">
        <f t="shared" ref="B59:B69" si="64">B41</f>
        <v>0</v>
      </c>
      <c r="C59" s="43">
        <f t="shared" ref="C59:N59" si="65">IF(ROUND(B59,1)&gt;0,B59-B23,C41)</f>
        <v>0</v>
      </c>
      <c r="D59" s="43">
        <f t="shared" si="65"/>
        <v>6000</v>
      </c>
      <c r="E59" s="43">
        <f t="shared" si="65"/>
        <v>5785.7142857142853</v>
      </c>
      <c r="F59" s="43">
        <f t="shared" si="65"/>
        <v>5571.4285714285706</v>
      </c>
      <c r="G59" s="43">
        <f t="shared" si="65"/>
        <v>5357.142857142856</v>
      </c>
      <c r="H59" s="43">
        <f t="shared" si="65"/>
        <v>5142.8571428571413</v>
      </c>
      <c r="I59" s="130">
        <f t="shared" si="65"/>
        <v>4928.5714285714266</v>
      </c>
      <c r="J59" s="281"/>
      <c r="K59" s="129">
        <f t="shared" ref="K59:K69" si="66">IF(ROUND(I59,1)&gt;0,I59-I23,K41)</f>
        <v>4714.2857142857119</v>
      </c>
      <c r="L59" s="43">
        <f t="shared" si="65"/>
        <v>3857.1428571428551</v>
      </c>
      <c r="M59" s="43">
        <f t="shared" si="65"/>
        <v>2999.9999999999982</v>
      </c>
      <c r="N59" s="130">
        <f t="shared" si="65"/>
        <v>2142.8571428571413</v>
      </c>
      <c r="P59" s="199"/>
      <c r="R59" s="93">
        <f>B58</f>
        <v>43831</v>
      </c>
      <c r="S59" s="52">
        <f>F58</f>
        <v>44197</v>
      </c>
      <c r="T59" s="52">
        <f t="shared" ref="T59:T69" si="67">K58</f>
        <v>44562</v>
      </c>
      <c r="U59" s="52">
        <f t="shared" ref="U59:U69" si="68">L58</f>
        <v>44927</v>
      </c>
      <c r="V59" s="52">
        <f t="shared" ref="V59:V69" si="69">M58</f>
        <v>45292</v>
      </c>
      <c r="W59" s="96">
        <f t="shared" ref="W59:W69" si="70">N58</f>
        <v>45658</v>
      </c>
      <c r="X59" s="200"/>
      <c r="Y59" s="199"/>
      <c r="AF59" s="200"/>
    </row>
    <row r="60" spans="1:32" x14ac:dyDescent="0.25">
      <c r="A60" s="36" t="str">
        <f t="shared" si="63"/>
        <v>Product Testing Unit</v>
      </c>
      <c r="B60" s="129">
        <f t="shared" si="64"/>
        <v>0</v>
      </c>
      <c r="C60" s="43">
        <f t="shared" ref="C60:N60" si="71">IF(ROUND(B60,1)&gt;0,B60-B24,C42)</f>
        <v>0</v>
      </c>
      <c r="D60" s="43">
        <f t="shared" si="71"/>
        <v>0</v>
      </c>
      <c r="E60" s="43">
        <f t="shared" si="71"/>
        <v>20000</v>
      </c>
      <c r="F60" s="43">
        <f t="shared" si="71"/>
        <v>19166.666666666668</v>
      </c>
      <c r="G60" s="43">
        <f t="shared" si="71"/>
        <v>18333.333333333336</v>
      </c>
      <c r="H60" s="43">
        <f t="shared" si="71"/>
        <v>17500.000000000004</v>
      </c>
      <c r="I60" s="130">
        <f t="shared" si="71"/>
        <v>16666.666666666672</v>
      </c>
      <c r="J60" s="281"/>
      <c r="K60" s="129">
        <f t="shared" si="66"/>
        <v>15833.333333333338</v>
      </c>
      <c r="L60" s="43">
        <f t="shared" si="71"/>
        <v>12500.000000000004</v>
      </c>
      <c r="M60" s="43">
        <f t="shared" si="71"/>
        <v>9166.6666666666697</v>
      </c>
      <c r="N60" s="130">
        <f t="shared" si="71"/>
        <v>5833.3333333333358</v>
      </c>
      <c r="P60" s="199"/>
      <c r="Q60" s="36" t="str">
        <f t="shared" ref="Q60:Q69" si="72">A59</f>
        <v>Lab Tools</v>
      </c>
      <c r="R60" s="94">
        <f t="shared" ref="R60:R69" si="73">SUM(B59:E59)</f>
        <v>11785.714285714286</v>
      </c>
      <c r="S60" s="87">
        <f t="shared" ref="S60:S69" si="74">SUM(F59:I59)</f>
        <v>20999.999999999996</v>
      </c>
      <c r="T60" s="87">
        <f t="shared" si="67"/>
        <v>4714.2857142857119</v>
      </c>
      <c r="U60" s="87">
        <f t="shared" si="68"/>
        <v>3857.1428571428551</v>
      </c>
      <c r="V60" s="87">
        <f t="shared" si="69"/>
        <v>2999.9999999999982</v>
      </c>
      <c r="W60" s="90">
        <f t="shared" si="70"/>
        <v>2142.8571428571413</v>
      </c>
      <c r="X60" s="200"/>
      <c r="Y60" s="199"/>
      <c r="AF60" s="200"/>
    </row>
    <row r="61" spans="1:32" x14ac:dyDescent="0.25">
      <c r="A61" s="36" t="str">
        <f t="shared" si="63"/>
        <v>Office Furniture</v>
      </c>
      <c r="B61" s="129">
        <f t="shared" si="64"/>
        <v>0</v>
      </c>
      <c r="C61" s="43">
        <f t="shared" ref="C61:N61" si="75">IF(ROUND(B61,1)&gt;0,B61-B25,C43)</f>
        <v>0</v>
      </c>
      <c r="D61" s="43">
        <f t="shared" si="75"/>
        <v>0</v>
      </c>
      <c r="E61" s="43">
        <f t="shared" si="75"/>
        <v>3000</v>
      </c>
      <c r="F61" s="43">
        <f t="shared" si="75"/>
        <v>2850</v>
      </c>
      <c r="G61" s="43">
        <f t="shared" si="75"/>
        <v>2700</v>
      </c>
      <c r="H61" s="43">
        <f t="shared" si="75"/>
        <v>2550</v>
      </c>
      <c r="I61" s="130">
        <f t="shared" si="75"/>
        <v>2400</v>
      </c>
      <c r="J61" s="281"/>
      <c r="K61" s="129">
        <f t="shared" si="66"/>
        <v>2250</v>
      </c>
      <c r="L61" s="43">
        <f t="shared" si="75"/>
        <v>1650</v>
      </c>
      <c r="M61" s="43">
        <f t="shared" si="75"/>
        <v>1050</v>
      </c>
      <c r="N61" s="130">
        <f t="shared" si="75"/>
        <v>450</v>
      </c>
      <c r="P61" s="199"/>
      <c r="Q61" s="36" t="str">
        <f t="shared" si="72"/>
        <v>Product Testing Unit</v>
      </c>
      <c r="R61" s="94">
        <f t="shared" si="73"/>
        <v>20000</v>
      </c>
      <c r="S61" s="87">
        <f t="shared" si="74"/>
        <v>71666.666666666672</v>
      </c>
      <c r="T61" s="87">
        <f t="shared" si="67"/>
        <v>15833.333333333338</v>
      </c>
      <c r="U61" s="87">
        <f t="shared" si="68"/>
        <v>12500.000000000004</v>
      </c>
      <c r="V61" s="87">
        <f t="shared" si="69"/>
        <v>9166.6666666666697</v>
      </c>
      <c r="W61" s="90">
        <f t="shared" si="70"/>
        <v>5833.3333333333358</v>
      </c>
      <c r="X61" s="200"/>
      <c r="Y61" s="199"/>
      <c r="AF61" s="200"/>
    </row>
    <row r="62" spans="1:32" x14ac:dyDescent="0.25">
      <c r="A62" s="36" t="str">
        <f t="shared" si="63"/>
        <v>Company Vehicle</v>
      </c>
      <c r="B62" s="129">
        <f t="shared" si="64"/>
        <v>0</v>
      </c>
      <c r="C62" s="43">
        <f t="shared" ref="C62:N62" si="76">IF(ROUND(B62,1)&gt;0,B62-B26,C44)</f>
        <v>0</v>
      </c>
      <c r="D62" s="43">
        <f t="shared" si="76"/>
        <v>0</v>
      </c>
      <c r="E62" s="43">
        <f t="shared" si="76"/>
        <v>0</v>
      </c>
      <c r="F62" s="43">
        <f t="shared" si="76"/>
        <v>0</v>
      </c>
      <c r="G62" s="43">
        <f t="shared" si="76"/>
        <v>35000</v>
      </c>
      <c r="H62" s="43">
        <f t="shared" si="76"/>
        <v>33250</v>
      </c>
      <c r="I62" s="130">
        <f t="shared" si="76"/>
        <v>31500</v>
      </c>
      <c r="J62" s="281"/>
      <c r="K62" s="129">
        <f t="shared" si="66"/>
        <v>29750</v>
      </c>
      <c r="L62" s="43">
        <f t="shared" si="76"/>
        <v>22750</v>
      </c>
      <c r="M62" s="43">
        <f t="shared" si="76"/>
        <v>15750</v>
      </c>
      <c r="N62" s="130">
        <f t="shared" si="76"/>
        <v>8750</v>
      </c>
      <c r="P62" s="199"/>
      <c r="Q62" s="36" t="str">
        <f t="shared" si="72"/>
        <v>Office Furniture</v>
      </c>
      <c r="R62" s="94">
        <f t="shared" si="73"/>
        <v>3000</v>
      </c>
      <c r="S62" s="87">
        <f t="shared" si="74"/>
        <v>10500</v>
      </c>
      <c r="T62" s="87">
        <f t="shared" si="67"/>
        <v>2250</v>
      </c>
      <c r="U62" s="87">
        <f t="shared" si="68"/>
        <v>1650</v>
      </c>
      <c r="V62" s="87">
        <f t="shared" si="69"/>
        <v>1050</v>
      </c>
      <c r="W62" s="90">
        <f t="shared" si="70"/>
        <v>450</v>
      </c>
      <c r="X62" s="200"/>
      <c r="Y62" s="199"/>
      <c r="AF62" s="200"/>
    </row>
    <row r="63" spans="1:32" x14ac:dyDescent="0.25">
      <c r="A63" s="36" t="str">
        <f t="shared" si="63"/>
        <v>High Cap. Testing Unit</v>
      </c>
      <c r="B63" s="129">
        <f t="shared" si="64"/>
        <v>0</v>
      </c>
      <c r="C63" s="43">
        <f t="shared" ref="C63:N63" si="77">IF(ROUND(B63,1)&gt;0,B63-B27,C45)</f>
        <v>0</v>
      </c>
      <c r="D63" s="43">
        <f t="shared" si="77"/>
        <v>0</v>
      </c>
      <c r="E63" s="43">
        <f t="shared" si="77"/>
        <v>0</v>
      </c>
      <c r="F63" s="43">
        <f t="shared" si="77"/>
        <v>0</v>
      </c>
      <c r="G63" s="43">
        <f t="shared" si="77"/>
        <v>0</v>
      </c>
      <c r="H63" s="43">
        <f t="shared" si="77"/>
        <v>55000</v>
      </c>
      <c r="I63" s="130">
        <f t="shared" si="77"/>
        <v>52708.333333333336</v>
      </c>
      <c r="J63" s="281"/>
      <c r="K63" s="129">
        <f t="shared" si="66"/>
        <v>50416.666666666672</v>
      </c>
      <c r="L63" s="43">
        <f t="shared" si="77"/>
        <v>41250.000000000007</v>
      </c>
      <c r="M63" s="43">
        <f t="shared" si="77"/>
        <v>32083.333333333343</v>
      </c>
      <c r="N63" s="130">
        <f t="shared" si="77"/>
        <v>22916.666666666679</v>
      </c>
      <c r="P63" s="199"/>
      <c r="Q63" s="36" t="str">
        <f t="shared" si="72"/>
        <v>Company Vehicle</v>
      </c>
      <c r="R63" s="94">
        <f t="shared" si="73"/>
        <v>0</v>
      </c>
      <c r="S63" s="87">
        <f t="shared" si="74"/>
        <v>99750</v>
      </c>
      <c r="T63" s="87">
        <f t="shared" si="67"/>
        <v>29750</v>
      </c>
      <c r="U63" s="87">
        <f t="shared" si="68"/>
        <v>22750</v>
      </c>
      <c r="V63" s="87">
        <f t="shared" si="69"/>
        <v>15750</v>
      </c>
      <c r="W63" s="90">
        <f t="shared" si="70"/>
        <v>8750</v>
      </c>
      <c r="X63" s="200"/>
      <c r="Y63" s="199"/>
      <c r="AF63" s="200"/>
    </row>
    <row r="64" spans="1:32" x14ac:dyDescent="0.25">
      <c r="A64" s="36" t="str">
        <f t="shared" si="63"/>
        <v>Office Furniture</v>
      </c>
      <c r="B64" s="129">
        <f t="shared" si="64"/>
        <v>0</v>
      </c>
      <c r="C64" s="43">
        <f t="shared" ref="C64:N64" si="78">IF(ROUND(B64,1)&gt;0,B64-B28,C46)</f>
        <v>0</v>
      </c>
      <c r="D64" s="43">
        <f t="shared" si="78"/>
        <v>0</v>
      </c>
      <c r="E64" s="43">
        <f t="shared" si="78"/>
        <v>0</v>
      </c>
      <c r="F64" s="43">
        <f t="shared" si="78"/>
        <v>0</v>
      </c>
      <c r="G64" s="43">
        <f t="shared" si="78"/>
        <v>0</v>
      </c>
      <c r="H64" s="43">
        <f t="shared" si="78"/>
        <v>8000</v>
      </c>
      <c r="I64" s="130">
        <f t="shared" si="78"/>
        <v>7600</v>
      </c>
      <c r="J64" s="281"/>
      <c r="K64" s="129">
        <f t="shared" si="66"/>
        <v>7200</v>
      </c>
      <c r="L64" s="43">
        <f t="shared" si="78"/>
        <v>5600</v>
      </c>
      <c r="M64" s="43">
        <f t="shared" si="78"/>
        <v>4000</v>
      </c>
      <c r="N64" s="130">
        <f t="shared" si="78"/>
        <v>2400</v>
      </c>
      <c r="P64" s="199"/>
      <c r="Q64" s="36" t="str">
        <f t="shared" si="72"/>
        <v>High Cap. Testing Unit</v>
      </c>
      <c r="R64" s="94">
        <f t="shared" si="73"/>
        <v>0</v>
      </c>
      <c r="S64" s="87">
        <f t="shared" si="74"/>
        <v>107708.33333333334</v>
      </c>
      <c r="T64" s="87">
        <f t="shared" si="67"/>
        <v>50416.666666666672</v>
      </c>
      <c r="U64" s="87">
        <f t="shared" si="68"/>
        <v>41250.000000000007</v>
      </c>
      <c r="V64" s="87">
        <f t="shared" si="69"/>
        <v>32083.333333333343</v>
      </c>
      <c r="W64" s="90">
        <f t="shared" si="70"/>
        <v>22916.666666666679</v>
      </c>
      <c r="X64" s="200"/>
      <c r="Y64" s="199"/>
      <c r="AF64" s="200"/>
    </row>
    <row r="65" spans="1:32" x14ac:dyDescent="0.25">
      <c r="A65" s="36" t="str">
        <f t="shared" si="63"/>
        <v>Storage Racks</v>
      </c>
      <c r="B65" s="129">
        <f t="shared" si="64"/>
        <v>0</v>
      </c>
      <c r="C65" s="43">
        <f t="shared" ref="C65:N65" si="79">IF(ROUND(B65,1)&gt;0,B65-B29,C47)</f>
        <v>0</v>
      </c>
      <c r="D65" s="43">
        <f t="shared" si="79"/>
        <v>0</v>
      </c>
      <c r="E65" s="43">
        <f t="shared" si="79"/>
        <v>0</v>
      </c>
      <c r="F65" s="43">
        <f t="shared" si="79"/>
        <v>0</v>
      </c>
      <c r="G65" s="43">
        <f t="shared" si="79"/>
        <v>0</v>
      </c>
      <c r="H65" s="43">
        <f t="shared" si="79"/>
        <v>0</v>
      </c>
      <c r="I65" s="130">
        <f t="shared" si="79"/>
        <v>0</v>
      </c>
      <c r="J65" s="281"/>
      <c r="K65" s="129">
        <f t="shared" si="66"/>
        <v>3000</v>
      </c>
      <c r="L65" s="43">
        <f t="shared" si="79"/>
        <v>2400</v>
      </c>
      <c r="M65" s="43">
        <f t="shared" si="79"/>
        <v>1800</v>
      </c>
      <c r="N65" s="130">
        <f t="shared" si="79"/>
        <v>1200</v>
      </c>
      <c r="P65" s="199"/>
      <c r="Q65" s="36" t="str">
        <f t="shared" si="72"/>
        <v>Office Furniture</v>
      </c>
      <c r="R65" s="94">
        <f t="shared" si="73"/>
        <v>0</v>
      </c>
      <c r="S65" s="87">
        <f t="shared" si="74"/>
        <v>15600</v>
      </c>
      <c r="T65" s="87">
        <f t="shared" si="67"/>
        <v>7200</v>
      </c>
      <c r="U65" s="87">
        <f t="shared" si="68"/>
        <v>5600</v>
      </c>
      <c r="V65" s="87">
        <f t="shared" si="69"/>
        <v>4000</v>
      </c>
      <c r="W65" s="90">
        <f t="shared" si="70"/>
        <v>2400</v>
      </c>
      <c r="X65" s="200"/>
      <c r="Y65" s="199"/>
      <c r="AF65" s="200"/>
    </row>
    <row r="66" spans="1:32" x14ac:dyDescent="0.25">
      <c r="A66" s="36" t="str">
        <f t="shared" si="63"/>
        <v>New Lab Tools</v>
      </c>
      <c r="B66" s="129">
        <f t="shared" si="64"/>
        <v>0</v>
      </c>
      <c r="C66" s="43">
        <f t="shared" ref="C66:N66" si="80">IF(ROUND(B66,1)&gt;0,B66-B30,C48)</f>
        <v>0</v>
      </c>
      <c r="D66" s="43">
        <f t="shared" si="80"/>
        <v>0</v>
      </c>
      <c r="E66" s="43">
        <f t="shared" si="80"/>
        <v>0</v>
      </c>
      <c r="F66" s="43">
        <f t="shared" si="80"/>
        <v>0</v>
      </c>
      <c r="G66" s="43">
        <f t="shared" si="80"/>
        <v>0</v>
      </c>
      <c r="H66" s="43">
        <f t="shared" si="80"/>
        <v>0</v>
      </c>
      <c r="I66" s="130">
        <f t="shared" si="80"/>
        <v>0</v>
      </c>
      <c r="J66" s="281"/>
      <c r="K66" s="129">
        <f t="shared" si="66"/>
        <v>0</v>
      </c>
      <c r="L66" s="43">
        <f t="shared" si="80"/>
        <v>15000</v>
      </c>
      <c r="M66" s="43">
        <f t="shared" si="80"/>
        <v>12857.142857142857</v>
      </c>
      <c r="N66" s="130">
        <f t="shared" si="80"/>
        <v>10714.285714285714</v>
      </c>
      <c r="P66" s="199"/>
      <c r="Q66" t="str">
        <f t="shared" si="72"/>
        <v>Storage Racks</v>
      </c>
      <c r="R66" s="94">
        <f t="shared" si="73"/>
        <v>0</v>
      </c>
      <c r="S66" s="87">
        <f t="shared" si="74"/>
        <v>0</v>
      </c>
      <c r="T66" s="87">
        <f t="shared" si="67"/>
        <v>3000</v>
      </c>
      <c r="U66" s="87">
        <f t="shared" si="68"/>
        <v>2400</v>
      </c>
      <c r="V66" s="87">
        <f t="shared" si="69"/>
        <v>1800</v>
      </c>
      <c r="W66" s="90">
        <f t="shared" si="70"/>
        <v>1200</v>
      </c>
      <c r="X66" s="200"/>
      <c r="Y66" s="199"/>
      <c r="AF66" s="200"/>
    </row>
    <row r="67" spans="1:32" x14ac:dyDescent="0.25">
      <c r="A67" s="36" t="str">
        <f t="shared" si="63"/>
        <v>Company Vehicle</v>
      </c>
      <c r="B67" s="129">
        <f t="shared" si="64"/>
        <v>0</v>
      </c>
      <c r="C67" s="43">
        <f t="shared" ref="C67:N67" si="81">IF(ROUND(B67,1)&gt;0,B67-B31,C49)</f>
        <v>0</v>
      </c>
      <c r="D67" s="43">
        <f t="shared" si="81"/>
        <v>0</v>
      </c>
      <c r="E67" s="43">
        <f t="shared" si="81"/>
        <v>0</v>
      </c>
      <c r="F67" s="43">
        <f t="shared" si="81"/>
        <v>0</v>
      </c>
      <c r="G67" s="43">
        <f t="shared" si="81"/>
        <v>0</v>
      </c>
      <c r="H67" s="43">
        <f t="shared" si="81"/>
        <v>0</v>
      </c>
      <c r="I67" s="130">
        <f t="shared" si="81"/>
        <v>0</v>
      </c>
      <c r="J67" s="281"/>
      <c r="K67" s="129">
        <f t="shared" si="66"/>
        <v>0</v>
      </c>
      <c r="L67" s="43">
        <f t="shared" si="81"/>
        <v>0</v>
      </c>
      <c r="M67" s="43">
        <f t="shared" si="81"/>
        <v>0</v>
      </c>
      <c r="N67" s="130">
        <f t="shared" si="81"/>
        <v>45000</v>
      </c>
      <c r="P67" s="199"/>
      <c r="Q67" t="str">
        <f t="shared" si="72"/>
        <v>New Lab Tools</v>
      </c>
      <c r="R67" s="94">
        <f t="shared" si="73"/>
        <v>0</v>
      </c>
      <c r="S67" s="87">
        <f t="shared" si="74"/>
        <v>0</v>
      </c>
      <c r="T67" s="87">
        <f t="shared" si="67"/>
        <v>0</v>
      </c>
      <c r="U67" s="87">
        <f t="shared" si="68"/>
        <v>15000</v>
      </c>
      <c r="V67" s="87">
        <f t="shared" si="69"/>
        <v>12857.142857142857</v>
      </c>
      <c r="W67" s="90">
        <f t="shared" si="70"/>
        <v>10714.285714285714</v>
      </c>
      <c r="X67" s="200"/>
      <c r="Y67" s="199"/>
      <c r="AF67" s="200"/>
    </row>
    <row r="68" spans="1:32" x14ac:dyDescent="0.25">
      <c r="A68" s="36" t="str">
        <f t="shared" si="63"/>
        <v>Empty</v>
      </c>
      <c r="B68" s="129">
        <f t="shared" si="64"/>
        <v>0</v>
      </c>
      <c r="C68" s="43">
        <f t="shared" ref="C68:N68" si="82">IF(ROUND(B68,1)&gt;0,B68-B32,C50)</f>
        <v>0</v>
      </c>
      <c r="D68" s="43">
        <f t="shared" si="82"/>
        <v>0</v>
      </c>
      <c r="E68" s="43">
        <f t="shared" si="82"/>
        <v>0</v>
      </c>
      <c r="F68" s="43">
        <f t="shared" si="82"/>
        <v>0</v>
      </c>
      <c r="G68" s="43">
        <f t="shared" si="82"/>
        <v>0</v>
      </c>
      <c r="H68" s="43">
        <f t="shared" si="82"/>
        <v>0</v>
      </c>
      <c r="I68" s="130">
        <f t="shared" si="82"/>
        <v>0</v>
      </c>
      <c r="J68" s="281"/>
      <c r="K68" s="129">
        <f t="shared" si="66"/>
        <v>0</v>
      </c>
      <c r="L68" s="43">
        <f t="shared" si="82"/>
        <v>0</v>
      </c>
      <c r="M68" s="43">
        <f t="shared" si="82"/>
        <v>0</v>
      </c>
      <c r="N68" s="130">
        <f t="shared" si="82"/>
        <v>0</v>
      </c>
      <c r="P68" s="199"/>
      <c r="Q68" t="str">
        <f t="shared" si="72"/>
        <v>Company Vehicle</v>
      </c>
      <c r="R68" s="94">
        <f t="shared" si="73"/>
        <v>0</v>
      </c>
      <c r="S68" s="87">
        <f t="shared" si="74"/>
        <v>0</v>
      </c>
      <c r="T68" s="87">
        <f t="shared" si="67"/>
        <v>0</v>
      </c>
      <c r="U68" s="87">
        <f t="shared" si="68"/>
        <v>0</v>
      </c>
      <c r="V68" s="87">
        <f t="shared" si="69"/>
        <v>0</v>
      </c>
      <c r="W68" s="90">
        <f t="shared" si="70"/>
        <v>45000</v>
      </c>
      <c r="X68" s="200"/>
      <c r="Y68" s="199"/>
      <c r="AF68" s="200"/>
    </row>
    <row r="69" spans="1:32" ht="15.75" thickBot="1" x14ac:dyDescent="0.3">
      <c r="A69" s="37" t="str">
        <f t="shared" si="63"/>
        <v>Empty</v>
      </c>
      <c r="B69" s="131">
        <f t="shared" si="64"/>
        <v>0</v>
      </c>
      <c r="C69" s="44">
        <f t="shared" ref="C69:N69" si="83">IF(ROUND(B69,1)&gt;0,B69-B33,C51)</f>
        <v>0</v>
      </c>
      <c r="D69" s="44">
        <f t="shared" si="83"/>
        <v>0</v>
      </c>
      <c r="E69" s="44">
        <f t="shared" si="83"/>
        <v>0</v>
      </c>
      <c r="F69" s="44">
        <f t="shared" si="83"/>
        <v>0</v>
      </c>
      <c r="G69" s="44">
        <f t="shared" si="83"/>
        <v>0</v>
      </c>
      <c r="H69" s="44">
        <f t="shared" si="83"/>
        <v>0</v>
      </c>
      <c r="I69" s="132">
        <f t="shared" si="83"/>
        <v>0</v>
      </c>
      <c r="J69" s="281"/>
      <c r="K69" s="131">
        <f t="shared" si="66"/>
        <v>0</v>
      </c>
      <c r="L69" s="44">
        <f t="shared" si="83"/>
        <v>0</v>
      </c>
      <c r="M69" s="44">
        <f t="shared" si="83"/>
        <v>0</v>
      </c>
      <c r="N69" s="132">
        <f t="shared" si="83"/>
        <v>0</v>
      </c>
      <c r="P69" s="199"/>
      <c r="Q69" s="36" t="str">
        <f t="shared" si="72"/>
        <v>Empty</v>
      </c>
      <c r="R69" s="95">
        <f t="shared" si="73"/>
        <v>0</v>
      </c>
      <c r="S69" s="88">
        <f t="shared" si="74"/>
        <v>0</v>
      </c>
      <c r="T69" s="88">
        <f t="shared" si="67"/>
        <v>0</v>
      </c>
      <c r="U69" s="88">
        <f t="shared" si="68"/>
        <v>0</v>
      </c>
      <c r="V69" s="88">
        <f t="shared" si="69"/>
        <v>0</v>
      </c>
      <c r="W69" s="91">
        <f t="shared" si="70"/>
        <v>0</v>
      </c>
      <c r="X69" s="200"/>
      <c r="Y69" s="199"/>
      <c r="AF69" s="200"/>
    </row>
    <row r="70" spans="1:32" ht="15.75" thickTop="1" x14ac:dyDescent="0.25">
      <c r="A70" s="73" t="s">
        <v>15</v>
      </c>
      <c r="B70" s="217">
        <f>SUM(B59:B69)</f>
        <v>0</v>
      </c>
      <c r="C70" s="218">
        <f t="shared" ref="C70:I70" si="84">SUM(C59:C69)</f>
        <v>0</v>
      </c>
      <c r="D70" s="218">
        <f t="shared" si="84"/>
        <v>6000</v>
      </c>
      <c r="E70" s="218">
        <f t="shared" si="84"/>
        <v>28785.714285714286</v>
      </c>
      <c r="F70" s="218">
        <f t="shared" si="84"/>
        <v>27588.095238095237</v>
      </c>
      <c r="G70" s="218">
        <f t="shared" si="84"/>
        <v>61390.476190476191</v>
      </c>
      <c r="H70" s="218">
        <f>SUM(H59:H69)</f>
        <v>121442.85714285714</v>
      </c>
      <c r="I70" s="219">
        <f t="shared" si="84"/>
        <v>115803.57142857143</v>
      </c>
      <c r="J70" s="281"/>
      <c r="K70" s="217">
        <f t="shared" ref="K70:N70" si="85">SUM(K59:K69)</f>
        <v>113164.28571428572</v>
      </c>
      <c r="L70" s="218">
        <f t="shared" si="85"/>
        <v>105007.14285714287</v>
      </c>
      <c r="M70" s="218">
        <f t="shared" si="85"/>
        <v>79707.14285714287</v>
      </c>
      <c r="N70" s="219">
        <f t="shared" si="85"/>
        <v>99407.14285714287</v>
      </c>
      <c r="P70" s="199"/>
      <c r="R70" s="74">
        <f>SUM(R60:R69)</f>
        <v>34785.71428571429</v>
      </c>
      <c r="S70" s="74">
        <f>SUM(S60:S69)</f>
        <v>326225</v>
      </c>
      <c r="T70" s="74">
        <f t="shared" ref="T70:W70" si="86">SUM(T60:T69)</f>
        <v>113164.28571428572</v>
      </c>
      <c r="U70" s="74">
        <f t="shared" si="86"/>
        <v>105007.14285714287</v>
      </c>
      <c r="V70" s="74">
        <f t="shared" si="86"/>
        <v>79707.14285714287</v>
      </c>
      <c r="W70" s="119">
        <f t="shared" si="86"/>
        <v>99407.14285714287</v>
      </c>
      <c r="X70" s="200"/>
      <c r="Y70" s="199"/>
      <c r="AF70" s="200"/>
    </row>
    <row r="71" spans="1:32" x14ac:dyDescent="0.25">
      <c r="P71" s="199"/>
      <c r="X71" s="200"/>
      <c r="Y71" s="199"/>
      <c r="AF71" s="200"/>
    </row>
    <row r="72" spans="1:32" ht="15.75" thickBot="1" x14ac:dyDescent="0.3">
      <c r="P72" s="136"/>
      <c r="Q72" s="137"/>
      <c r="R72" s="137"/>
      <c r="S72" s="137"/>
      <c r="T72" s="137"/>
      <c r="U72" s="137"/>
      <c r="V72" s="137"/>
      <c r="W72" s="137"/>
      <c r="X72" s="138"/>
      <c r="Y72" s="136"/>
      <c r="Z72" s="137"/>
      <c r="AA72" s="137"/>
      <c r="AB72" s="137"/>
      <c r="AC72" s="137"/>
      <c r="AD72" s="137"/>
      <c r="AE72" s="137"/>
      <c r="AF72" s="138"/>
    </row>
    <row r="73" spans="1:32" ht="15.75" thickTop="1" x14ac:dyDescent="0.25"/>
  </sheetData>
  <mergeCells count="27">
    <mergeCell ref="F10:H10"/>
    <mergeCell ref="F11:H11"/>
    <mergeCell ref="F13:H13"/>
    <mergeCell ref="F14:H14"/>
    <mergeCell ref="F12:H12"/>
    <mergeCell ref="F5:H5"/>
    <mergeCell ref="F6:H6"/>
    <mergeCell ref="F7:H7"/>
    <mergeCell ref="F8:H8"/>
    <mergeCell ref="F9:H9"/>
    <mergeCell ref="F15:H15"/>
    <mergeCell ref="F16:H16"/>
    <mergeCell ref="B38:I38"/>
    <mergeCell ref="K38:N38"/>
    <mergeCell ref="B39:E39"/>
    <mergeCell ref="F39:I39"/>
    <mergeCell ref="B20:I20"/>
    <mergeCell ref="K20:N20"/>
    <mergeCell ref="B21:E21"/>
    <mergeCell ref="F21:I21"/>
    <mergeCell ref="R57:W57"/>
    <mergeCell ref="R21:W21"/>
    <mergeCell ref="B56:I56"/>
    <mergeCell ref="K56:N56"/>
    <mergeCell ref="B57:E57"/>
    <mergeCell ref="F57:I57"/>
    <mergeCell ref="R39:W39"/>
  </mergeCells>
  <conditionalFormatting sqref="B41:I52 K41:N52">
    <cfRule type="cellIs" dxfId="58" priority="5" operator="lessThan">
      <formula>0</formula>
    </cfRule>
  </conditionalFormatting>
  <conditionalFormatting sqref="B70:I70 K70:N70">
    <cfRule type="cellIs" dxfId="57" priority="3" operator="lessThan">
      <formula>0</formula>
    </cfRule>
  </conditionalFormatting>
  <conditionalFormatting sqref="B34:N34">
    <cfRule type="cellIs" dxfId="56" priority="4" operator="lessThan">
      <formula>0</formula>
    </cfRule>
  </conditionalFormatting>
  <conditionalFormatting sqref="C41:I41">
    <cfRule type="cellIs" dxfId="55" priority="6" operator="lessThan">
      <formula>0</formula>
    </cfRule>
  </conditionalFormatting>
  <conditionalFormatting sqref="J38:J52">
    <cfRule type="cellIs" dxfId="54" priority="2" operator="lessThan">
      <formula>0</formula>
    </cfRule>
  </conditionalFormatting>
  <conditionalFormatting sqref="J56:J70">
    <cfRule type="cellIs" dxfId="53" priority="1" operator="lessThan">
      <formula>0</formula>
    </cfRule>
  </conditionalFormatting>
  <pageMargins left="0.25" right="0.25" top="0.75" bottom="0.75" header="0.3" footer="0.3"/>
  <pageSetup paperSize="5" scale="4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>
    <tabColor theme="7"/>
    <pageSetUpPr fitToPage="1"/>
  </sheetPr>
  <dimension ref="A1:X48"/>
  <sheetViews>
    <sheetView topLeftCell="D1" workbookViewId="0"/>
  </sheetViews>
  <sheetFormatPr defaultColWidth="8.85546875" defaultRowHeight="15" x14ac:dyDescent="0.25"/>
  <cols>
    <col min="1" max="1" width="29.7109375" bestFit="1" customWidth="1"/>
    <col min="2" max="9" width="11.85546875" customWidth="1"/>
    <col min="10" max="10" width="9.42578125" customWidth="1"/>
    <col min="11" max="14" width="11.85546875" customWidth="1"/>
    <col min="15" max="15" width="10" customWidth="1"/>
    <col min="16" max="16" width="3.85546875" customWidth="1"/>
    <col min="17" max="23" width="14.42578125" customWidth="1"/>
    <col min="24" max="24" width="3.85546875" customWidth="1"/>
  </cols>
  <sheetData>
    <row r="1" spans="1:24" ht="24.75" thickTop="1" thickBot="1" x14ac:dyDescent="0.4">
      <c r="A1" s="33" t="s">
        <v>240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33" t="str">
        <f>CompanyName &amp;" Projected Expenses Chart"</f>
        <v>WorkHorse Inc. Projected Expenses Chart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"Expenses ("&amp;SubHeader&amp;")"</f>
        <v>Expenses (USD)</v>
      </c>
      <c r="C2" s="28"/>
      <c r="D2" s="28"/>
      <c r="P2" s="199"/>
      <c r="X2" s="200"/>
    </row>
    <row r="3" spans="1:24" ht="17.25" x14ac:dyDescent="0.3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 t="s">
        <v>198</v>
      </c>
      <c r="X3" s="200"/>
    </row>
    <row r="4" spans="1:24" ht="15" customHeight="1" x14ac:dyDescent="0.25"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X4" s="200"/>
    </row>
    <row r="5" spans="1:24" ht="19.5" x14ac:dyDescent="0.3">
      <c r="A5" s="35" t="s">
        <v>160</v>
      </c>
      <c r="P5" s="256"/>
      <c r="Q5" s="39"/>
      <c r="R5" s="39"/>
      <c r="S5" s="39"/>
      <c r="T5" s="39"/>
      <c r="U5" s="39"/>
      <c r="V5" s="39"/>
      <c r="W5" s="39"/>
      <c r="X5" s="257"/>
    </row>
    <row r="6" spans="1:24" ht="15" customHeight="1" x14ac:dyDescent="0.25">
      <c r="A6" s="31"/>
      <c r="B6" s="306" t="str">
        <f>A5&amp;" by Quarter (years 1 and 2)"</f>
        <v>Total Expenses by Quarter (years 1 and 2)</v>
      </c>
      <c r="C6" s="307"/>
      <c r="D6" s="307"/>
      <c r="E6" s="307"/>
      <c r="F6" s="307"/>
      <c r="G6" s="307"/>
      <c r="H6" s="307"/>
      <c r="I6" s="308"/>
      <c r="J6" s="281"/>
      <c r="K6" s="309" t="str">
        <f>"Annual "&amp;A5&amp;" (years 3 to 6)"</f>
        <v>Annual Total Expenses (years 3 to 6)</v>
      </c>
      <c r="L6" s="310"/>
      <c r="M6" s="310"/>
      <c r="N6" s="311"/>
      <c r="P6" s="199"/>
      <c r="X6" s="200"/>
    </row>
    <row r="7" spans="1:24" ht="15" customHeight="1" x14ac:dyDescent="0.25">
      <c r="A7" s="31"/>
      <c r="B7" s="312" t="s">
        <v>193</v>
      </c>
      <c r="C7" s="313"/>
      <c r="D7" s="313"/>
      <c r="E7" s="314"/>
      <c r="F7" s="315" t="s">
        <v>194</v>
      </c>
      <c r="G7" s="313"/>
      <c r="H7" s="313"/>
      <c r="I7" s="316"/>
      <c r="J7" s="281"/>
      <c r="K7" s="97" t="s">
        <v>135</v>
      </c>
      <c r="L7" s="98" t="s">
        <v>136</v>
      </c>
      <c r="M7" s="98" t="s">
        <v>137</v>
      </c>
      <c r="N7" s="99" t="s">
        <v>225</v>
      </c>
      <c r="P7" s="199"/>
      <c r="X7" s="200"/>
    </row>
    <row r="8" spans="1:24" ht="15" customHeight="1" x14ac:dyDescent="0.25">
      <c r="A8" s="51"/>
      <c r="B8" s="93">
        <f>StartDate</f>
        <v>43831</v>
      </c>
      <c r="C8" s="52">
        <f>EDATE(B8,3)</f>
        <v>43922</v>
      </c>
      <c r="D8" s="52">
        <f t="shared" ref="D8:I8" si="0">EDATE(C8,3)</f>
        <v>44013</v>
      </c>
      <c r="E8" s="52">
        <f t="shared" si="0"/>
        <v>44105</v>
      </c>
      <c r="F8" s="52">
        <f t="shared" si="0"/>
        <v>44197</v>
      </c>
      <c r="G8" s="52">
        <f t="shared" si="0"/>
        <v>44287</v>
      </c>
      <c r="H8" s="52">
        <f t="shared" si="0"/>
        <v>44378</v>
      </c>
      <c r="I8" s="89">
        <f t="shared" si="0"/>
        <v>44470</v>
      </c>
      <c r="J8" s="281"/>
      <c r="K8" s="93">
        <f>EDATE(I8,3)</f>
        <v>44562</v>
      </c>
      <c r="L8" s="52">
        <f t="shared" ref="L8:N8" si="1">EDATE(K8,12)</f>
        <v>44927</v>
      </c>
      <c r="M8" s="52">
        <f t="shared" si="1"/>
        <v>45292</v>
      </c>
      <c r="N8" s="96">
        <f t="shared" si="1"/>
        <v>45658</v>
      </c>
      <c r="P8" s="199"/>
      <c r="X8" s="200"/>
    </row>
    <row r="9" spans="1:24" ht="15" customHeight="1" x14ac:dyDescent="0.25">
      <c r="A9" s="36" t="s">
        <v>45</v>
      </c>
      <c r="B9" s="129">
        <f>'Working Capital'!B19</f>
        <v>0</v>
      </c>
      <c r="C9" s="43">
        <f>'Working Capital'!C19</f>
        <v>0</v>
      </c>
      <c r="D9" s="43">
        <f>'Working Capital'!D19</f>
        <v>0</v>
      </c>
      <c r="E9" s="43">
        <f>'Working Capital'!E19</f>
        <v>0</v>
      </c>
      <c r="F9" s="43">
        <f>'Working Capital'!F19</f>
        <v>231140</v>
      </c>
      <c r="G9" s="43">
        <f>'Working Capital'!G19</f>
        <v>231140</v>
      </c>
      <c r="H9" s="43">
        <f>'Working Capital'!H19</f>
        <v>231140</v>
      </c>
      <c r="I9" s="130">
        <f>'Working Capital'!I19</f>
        <v>231140</v>
      </c>
      <c r="J9" s="281"/>
      <c r="K9" s="129">
        <f>'Working Capital'!K19</f>
        <v>3621196.8000000007</v>
      </c>
      <c r="L9" s="43">
        <f>'Working Capital'!L19</f>
        <v>6532085.2480000006</v>
      </c>
      <c r="M9" s="43">
        <f>'Working Capital'!M19</f>
        <v>11506728.796160001</v>
      </c>
      <c r="N9" s="130">
        <f>'Working Capital'!N19</f>
        <v>20689182.605312005</v>
      </c>
      <c r="P9" s="199"/>
      <c r="X9" s="200"/>
    </row>
    <row r="10" spans="1:24" ht="15" customHeight="1" x14ac:dyDescent="0.25">
      <c r="A10" s="36" t="s">
        <v>40</v>
      </c>
      <c r="B10" s="129">
        <f>Payroll!B49+'Other Operating Expenses'!B27</f>
        <v>84000</v>
      </c>
      <c r="C10" s="43">
        <f>Payroll!C49+'Other Operating Expenses'!C27</f>
        <v>84000</v>
      </c>
      <c r="D10" s="43">
        <f>Payroll!D49+'Other Operating Expenses'!D27</f>
        <v>111800</v>
      </c>
      <c r="E10" s="43">
        <f>Payroll!E49+'Other Operating Expenses'!E27</f>
        <v>139600</v>
      </c>
      <c r="F10" s="43">
        <f>Payroll!F49+'Other Operating Expenses'!F27</f>
        <v>350450</v>
      </c>
      <c r="G10" s="43">
        <f>Payroll!G49+'Other Operating Expenses'!G27</f>
        <v>416475</v>
      </c>
      <c r="H10" s="43">
        <f>Payroll!H49+'Other Operating Expenses'!H27</f>
        <v>461650</v>
      </c>
      <c r="I10" s="130">
        <f>Payroll!I49+'Other Operating Expenses'!I27</f>
        <v>562425</v>
      </c>
      <c r="J10" s="281"/>
      <c r="K10" s="129">
        <f>Payroll!K49+'Other Operating Expenses'!K27</f>
        <v>2879620</v>
      </c>
      <c r="L10" s="43">
        <f>Payroll!L49+'Other Operating Expenses'!L27</f>
        <v>4344664.5</v>
      </c>
      <c r="M10" s="43">
        <f>Payroll!M49+'Other Operating Expenses'!M27</f>
        <v>5546435.8250000002</v>
      </c>
      <c r="N10" s="130">
        <f>Payroll!N49+'Other Operating Expenses'!N27</f>
        <v>6976264.0137499999</v>
      </c>
      <c r="P10" s="199"/>
      <c r="X10" s="200"/>
    </row>
    <row r="11" spans="1:24" ht="15" customHeight="1" thickBot="1" x14ac:dyDescent="0.3">
      <c r="A11" s="37" t="s">
        <v>235</v>
      </c>
      <c r="B11" s="131">
        <f>'Capital Expenses'!B34</f>
        <v>0</v>
      </c>
      <c r="C11" s="44">
        <f>'Capital Expenses'!C34</f>
        <v>0</v>
      </c>
      <c r="D11" s="44">
        <f>'Capital Expenses'!D34</f>
        <v>214.28571428571428</v>
      </c>
      <c r="E11" s="44">
        <f>'Capital Expenses'!E34</f>
        <v>1197.6190476190477</v>
      </c>
      <c r="F11" s="44">
        <f>'Capital Expenses'!F34</f>
        <v>1197.6190476190477</v>
      </c>
      <c r="G11" s="44">
        <f>'Capital Expenses'!G34</f>
        <v>2947.6190476190477</v>
      </c>
      <c r="H11" s="44">
        <f>'Capital Expenses'!H34</f>
        <v>5639.2857142857138</v>
      </c>
      <c r="I11" s="132">
        <f>'Capital Expenses'!I34</f>
        <v>5639.2857142857138</v>
      </c>
      <c r="J11" s="281"/>
      <c r="K11" s="131">
        <f>'Capital Expenses'!K34</f>
        <v>23157.142857142855</v>
      </c>
      <c r="L11" s="44">
        <f>'Capital Expenses'!L34</f>
        <v>25299.999999999996</v>
      </c>
      <c r="M11" s="44">
        <f>'Capital Expenses'!M34</f>
        <v>25299.999999999996</v>
      </c>
      <c r="N11" s="132">
        <f>'Capital Expenses'!N34</f>
        <v>34300</v>
      </c>
      <c r="P11" s="199"/>
      <c r="X11" s="200"/>
    </row>
    <row r="12" spans="1:24" ht="15" customHeight="1" thickTop="1" x14ac:dyDescent="0.25">
      <c r="A12" s="38" t="s">
        <v>15</v>
      </c>
      <c r="B12" s="135">
        <f t="shared" ref="B12:I12" si="2">SUM(B9:B11)</f>
        <v>84000</v>
      </c>
      <c r="C12" s="45">
        <f t="shared" si="2"/>
        <v>84000</v>
      </c>
      <c r="D12" s="45">
        <f t="shared" si="2"/>
        <v>112014.28571428571</v>
      </c>
      <c r="E12" s="45">
        <f t="shared" si="2"/>
        <v>140797.61904761905</v>
      </c>
      <c r="F12" s="45">
        <f t="shared" si="2"/>
        <v>582787.61904761905</v>
      </c>
      <c r="G12" s="45">
        <f t="shared" si="2"/>
        <v>650562.61904761905</v>
      </c>
      <c r="H12" s="45">
        <f t="shared" si="2"/>
        <v>698429.28571428568</v>
      </c>
      <c r="I12" s="92">
        <f t="shared" si="2"/>
        <v>799204.28571428568</v>
      </c>
      <c r="J12" s="281"/>
      <c r="K12" s="135">
        <f>SUM(K9:K11)</f>
        <v>6523973.9428571435</v>
      </c>
      <c r="L12" s="45">
        <f>SUM(L9:L11)</f>
        <v>10902049.748</v>
      </c>
      <c r="M12" s="45">
        <f>SUM(M9:M11)</f>
        <v>17078464.621160001</v>
      </c>
      <c r="N12" s="92">
        <f>SUM(N9:N11)</f>
        <v>27699746.619062006</v>
      </c>
      <c r="P12" s="199"/>
      <c r="X12" s="200"/>
    </row>
    <row r="13" spans="1:24" ht="15" customHeight="1" x14ac:dyDescent="0.25">
      <c r="B13" s="25"/>
      <c r="C13" s="29"/>
      <c r="D13" s="29"/>
      <c r="E13" s="29"/>
      <c r="F13" s="29"/>
      <c r="G13" s="29"/>
      <c r="H13" s="30"/>
      <c r="I13" s="30"/>
      <c r="J13" s="30"/>
      <c r="K13" s="30"/>
      <c r="L13" s="30"/>
      <c r="M13" s="30"/>
      <c r="N13" s="30"/>
      <c r="P13" s="199"/>
      <c r="X13" s="200"/>
    </row>
    <row r="14" spans="1:24" ht="15" customHeight="1" x14ac:dyDescent="0.25">
      <c r="B14" s="25"/>
      <c r="C14" s="29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0"/>
      <c r="P14" s="199"/>
      <c r="X14" s="200"/>
    </row>
    <row r="15" spans="1:24" x14ac:dyDescent="0.25">
      <c r="P15" s="199"/>
      <c r="X15" s="200"/>
    </row>
    <row r="16" spans="1:24" x14ac:dyDescent="0.25">
      <c r="P16" s="199"/>
      <c r="X16" s="200"/>
    </row>
    <row r="17" spans="2:24" s="53" customFormat="1" x14ac:dyDescent="0.25">
      <c r="P17" s="199"/>
      <c r="Q17"/>
      <c r="R17"/>
      <c r="S17"/>
      <c r="T17"/>
      <c r="U17"/>
      <c r="V17"/>
      <c r="W17"/>
      <c r="X17" s="200"/>
    </row>
    <row r="18" spans="2:24" ht="15.75" thickBot="1" x14ac:dyDescent="0.3">
      <c r="P18" s="136"/>
      <c r="Q18" s="137"/>
      <c r="R18" s="137"/>
      <c r="S18" s="137"/>
      <c r="T18" s="137"/>
      <c r="U18" s="137"/>
      <c r="V18" s="137"/>
      <c r="W18" s="137"/>
      <c r="X18" s="138"/>
    </row>
    <row r="19" spans="2:24" ht="15.75" thickTop="1" x14ac:dyDescent="0.25">
      <c r="P19" s="258"/>
      <c r="Q19" s="259"/>
      <c r="R19" s="259"/>
      <c r="S19" s="259"/>
      <c r="T19" s="259"/>
      <c r="U19" s="259"/>
      <c r="V19" s="259"/>
      <c r="W19" s="259"/>
      <c r="X19" s="255"/>
    </row>
    <row r="20" spans="2:24" ht="17.25" x14ac:dyDescent="0.3">
      <c r="P20" s="199"/>
      <c r="Q20" s="253" t="s">
        <v>199</v>
      </c>
      <c r="X20" s="200"/>
    </row>
    <row r="21" spans="2:24" s="26" customFormat="1" x14ac:dyDescent="0.25">
      <c r="P21" s="199"/>
      <c r="Q21"/>
      <c r="R21"/>
      <c r="S21"/>
      <c r="T21"/>
      <c r="U21"/>
      <c r="V21"/>
      <c r="W21"/>
      <c r="X21" s="200"/>
    </row>
    <row r="22" spans="2:24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P22" s="199"/>
      <c r="R22" s="309" t="s">
        <v>200</v>
      </c>
      <c r="S22" s="310"/>
      <c r="T22" s="310"/>
      <c r="U22" s="310"/>
      <c r="V22" s="310"/>
      <c r="W22" s="311"/>
      <c r="X22" s="200"/>
    </row>
    <row r="23" spans="2:24" x14ac:dyDescent="0.25">
      <c r="P23" s="199"/>
      <c r="R23" s="97" t="s">
        <v>193</v>
      </c>
      <c r="S23" s="98" t="s">
        <v>194</v>
      </c>
      <c r="T23" s="98" t="s">
        <v>135</v>
      </c>
      <c r="U23" s="98" t="s">
        <v>136</v>
      </c>
      <c r="V23" s="98" t="s">
        <v>137</v>
      </c>
      <c r="W23" s="99" t="s">
        <v>225</v>
      </c>
      <c r="X23" s="200"/>
    </row>
    <row r="24" spans="2:24" x14ac:dyDescent="0.25">
      <c r="P24" s="199"/>
      <c r="R24" s="93">
        <f>B8</f>
        <v>43831</v>
      </c>
      <c r="S24" s="52">
        <f>F8</f>
        <v>44197</v>
      </c>
      <c r="T24" s="52">
        <f t="shared" ref="T24:W27" si="3">K8</f>
        <v>44562</v>
      </c>
      <c r="U24" s="52">
        <f t="shared" si="3"/>
        <v>44927</v>
      </c>
      <c r="V24" s="52">
        <f t="shared" si="3"/>
        <v>45292</v>
      </c>
      <c r="W24" s="96">
        <f t="shared" si="3"/>
        <v>45658</v>
      </c>
      <c r="X24" s="200"/>
    </row>
    <row r="25" spans="2:24" x14ac:dyDescent="0.25">
      <c r="P25" s="199"/>
      <c r="Q25" s="36" t="str">
        <f>A9</f>
        <v>COGS</v>
      </c>
      <c r="R25" s="94">
        <f>SUM(B9:E9)</f>
        <v>0</v>
      </c>
      <c r="S25" s="87">
        <f>SUM(F9:I9)</f>
        <v>924560</v>
      </c>
      <c r="T25" s="87">
        <f t="shared" si="3"/>
        <v>3621196.8000000007</v>
      </c>
      <c r="U25" s="87">
        <f t="shared" si="3"/>
        <v>6532085.2480000006</v>
      </c>
      <c r="V25" s="87">
        <f t="shared" si="3"/>
        <v>11506728.796160001</v>
      </c>
      <c r="W25" s="90">
        <f t="shared" si="3"/>
        <v>20689182.605312005</v>
      </c>
      <c r="X25" s="200"/>
    </row>
    <row r="26" spans="2:24" x14ac:dyDescent="0.25">
      <c r="P26" s="199"/>
      <c r="Q26" s="36" t="str">
        <f>A10</f>
        <v>Operating Expenses</v>
      </c>
      <c r="R26" s="94">
        <f>SUM(B10:E10)</f>
        <v>419400</v>
      </c>
      <c r="S26" s="87">
        <f>SUM(F10:I10)</f>
        <v>1791000</v>
      </c>
      <c r="T26" s="87">
        <f t="shared" si="3"/>
        <v>2879620</v>
      </c>
      <c r="U26" s="87">
        <f t="shared" si="3"/>
        <v>4344664.5</v>
      </c>
      <c r="V26" s="87">
        <f t="shared" si="3"/>
        <v>5546435.8250000002</v>
      </c>
      <c r="W26" s="90">
        <f t="shared" si="3"/>
        <v>6976264.0137499999</v>
      </c>
      <c r="X26" s="200"/>
    </row>
    <row r="27" spans="2:24" ht="15.75" thickBot="1" x14ac:dyDescent="0.3">
      <c r="P27" s="199"/>
      <c r="Q27" s="36" t="str">
        <f>A11</f>
        <v>Depreciation and Amortization</v>
      </c>
      <c r="R27" s="95">
        <f>SUM(B11:E11)</f>
        <v>1411.9047619047619</v>
      </c>
      <c r="S27" s="88">
        <f>SUM(F11:I11)</f>
        <v>15423.809523809523</v>
      </c>
      <c r="T27" s="88">
        <f t="shared" si="3"/>
        <v>23157.142857142855</v>
      </c>
      <c r="U27" s="88">
        <f t="shared" si="3"/>
        <v>25299.999999999996</v>
      </c>
      <c r="V27" s="88">
        <f t="shared" si="3"/>
        <v>25299.999999999996</v>
      </c>
      <c r="W27" s="91">
        <f t="shared" si="3"/>
        <v>34300</v>
      </c>
      <c r="X27" s="200"/>
    </row>
    <row r="28" spans="2:24" ht="15.75" thickTop="1" x14ac:dyDescent="0.25">
      <c r="P28" s="199"/>
      <c r="R28" s="74">
        <f t="shared" ref="R28:W28" si="4">SUM(R25:R27)</f>
        <v>420811.90476190473</v>
      </c>
      <c r="S28" s="74">
        <f t="shared" si="4"/>
        <v>2730983.8095238097</v>
      </c>
      <c r="T28" s="74">
        <f t="shared" si="4"/>
        <v>6523973.9428571435</v>
      </c>
      <c r="U28" s="74">
        <f t="shared" si="4"/>
        <v>10902049.748</v>
      </c>
      <c r="V28" s="74">
        <f t="shared" si="4"/>
        <v>17078464.621160001</v>
      </c>
      <c r="W28" s="74">
        <f t="shared" si="4"/>
        <v>27699746.619062006</v>
      </c>
      <c r="X28" s="200"/>
    </row>
    <row r="29" spans="2:24" x14ac:dyDescent="0.25">
      <c r="P29" s="199"/>
      <c r="X29" s="200"/>
    </row>
    <row r="30" spans="2:24" x14ac:dyDescent="0.25">
      <c r="P30" s="199"/>
      <c r="X30" s="200"/>
    </row>
    <row r="31" spans="2:24" x14ac:dyDescent="0.25">
      <c r="P31" s="199"/>
      <c r="X31" s="200"/>
    </row>
    <row r="32" spans="2:24" x14ac:dyDescent="0.25">
      <c r="P32" s="199"/>
      <c r="X32" s="200"/>
    </row>
    <row r="33" spans="16:24" x14ac:dyDescent="0.25">
      <c r="P33" s="199"/>
      <c r="X33" s="200"/>
    </row>
    <row r="34" spans="16:24" x14ac:dyDescent="0.25">
      <c r="P34" s="199"/>
      <c r="X34" s="200"/>
    </row>
    <row r="35" spans="16:24" x14ac:dyDescent="0.25">
      <c r="P35" s="199"/>
      <c r="X35" s="200"/>
    </row>
    <row r="36" spans="16:24" x14ac:dyDescent="0.25">
      <c r="P36" s="199"/>
      <c r="X36" s="200"/>
    </row>
    <row r="37" spans="16:24" x14ac:dyDescent="0.25">
      <c r="P37" s="199"/>
      <c r="X37" s="200"/>
    </row>
    <row r="38" spans="16:24" x14ac:dyDescent="0.25">
      <c r="P38" s="199"/>
      <c r="X38" s="200"/>
    </row>
    <row r="39" spans="16:24" x14ac:dyDescent="0.25">
      <c r="P39" s="199"/>
      <c r="X39" s="200"/>
    </row>
    <row r="40" spans="16:24" x14ac:dyDescent="0.25">
      <c r="P40" s="199"/>
      <c r="X40" s="200"/>
    </row>
    <row r="41" spans="16:24" x14ac:dyDescent="0.25">
      <c r="P41" s="199"/>
      <c r="X41" s="200"/>
    </row>
    <row r="42" spans="16:24" x14ac:dyDescent="0.25">
      <c r="P42" s="199"/>
      <c r="X42" s="200"/>
    </row>
    <row r="43" spans="16:24" x14ac:dyDescent="0.25">
      <c r="P43" s="199"/>
      <c r="X43" s="200"/>
    </row>
    <row r="44" spans="16:24" x14ac:dyDescent="0.25">
      <c r="P44" s="199"/>
      <c r="X44" s="200"/>
    </row>
    <row r="45" spans="16:24" x14ac:dyDescent="0.25">
      <c r="P45" s="199"/>
      <c r="X45" s="200"/>
    </row>
    <row r="46" spans="16:24" x14ac:dyDescent="0.25">
      <c r="P46" s="199"/>
      <c r="X46" s="200"/>
    </row>
    <row r="47" spans="16:24" ht="15.75" thickBot="1" x14ac:dyDescent="0.3">
      <c r="P47" s="136"/>
      <c r="Q47" s="137"/>
      <c r="R47" s="137"/>
      <c r="S47" s="137"/>
      <c r="T47" s="137"/>
      <c r="U47" s="137"/>
      <c r="V47" s="137"/>
      <c r="W47" s="137"/>
      <c r="X47" s="138"/>
    </row>
    <row r="48" spans="16:24" ht="15.75" thickTop="1" x14ac:dyDescent="0.25"/>
  </sheetData>
  <mergeCells count="5">
    <mergeCell ref="B6:I6"/>
    <mergeCell ref="K6:N6"/>
    <mergeCell ref="B7:E7"/>
    <mergeCell ref="F7:I7"/>
    <mergeCell ref="R22:W22"/>
  </mergeCells>
  <pageMargins left="0.25" right="0.25" top="0.75" bottom="0.75" header="0.3" footer="0.3"/>
  <pageSetup paperSize="5" scale="57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/>
    <pageSetUpPr fitToPage="1"/>
  </sheetPr>
  <dimension ref="A1:N54"/>
  <sheetViews>
    <sheetView topLeftCell="A14" workbookViewId="0">
      <selection activeCell="P19" sqref="P19"/>
    </sheetView>
  </sheetViews>
  <sheetFormatPr defaultColWidth="8.85546875" defaultRowHeight="15" x14ac:dyDescent="0.25"/>
  <cols>
    <col min="1" max="1" width="41.42578125" bestFit="1" customWidth="1"/>
    <col min="2" max="2" width="13.42578125" customWidth="1"/>
    <col min="3" max="9" width="12.42578125" customWidth="1"/>
    <col min="10" max="10" width="9.42578125" customWidth="1"/>
    <col min="11" max="14" width="12.42578125" customWidth="1"/>
    <col min="15" max="15" width="10" customWidth="1"/>
  </cols>
  <sheetData>
    <row r="1" spans="1:14" ht="24" thickBot="1" x14ac:dyDescent="0.4">
      <c r="A1" s="33" t="s">
        <v>239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 thickTop="1" x14ac:dyDescent="0.25">
      <c r="A2" s="31" t="str">
        <f>"Working Capital ("&amp;SubHeader&amp;")"</f>
        <v>Working Capital (USD)</v>
      </c>
      <c r="B2" s="86"/>
      <c r="C2" s="28"/>
      <c r="D2" s="28"/>
    </row>
    <row r="3" spans="1:14" x14ac:dyDescent="0.25">
      <c r="B3" s="86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</row>
    <row r="4" spans="1:14" ht="19.5" x14ac:dyDescent="0.3">
      <c r="A4" s="32" t="s">
        <v>180</v>
      </c>
      <c r="B4" s="25"/>
    </row>
    <row r="5" spans="1:14" ht="14.1" customHeight="1" x14ac:dyDescent="0.25">
      <c r="A5" t="s">
        <v>181</v>
      </c>
      <c r="B5" s="100" t="s">
        <v>46</v>
      </c>
    </row>
    <row r="6" spans="1:14" ht="14.1" customHeight="1" x14ac:dyDescent="0.3">
      <c r="A6" s="35"/>
    </row>
    <row r="7" spans="1:14" ht="14.1" customHeight="1" x14ac:dyDescent="0.3">
      <c r="A7" s="35"/>
    </row>
    <row r="8" spans="1:14" ht="19.5" x14ac:dyDescent="0.3">
      <c r="A8" s="32" t="s">
        <v>186</v>
      </c>
    </row>
    <row r="9" spans="1:14" x14ac:dyDescent="0.25">
      <c r="B9" s="306" t="s">
        <v>182</v>
      </c>
      <c r="C9" s="307"/>
      <c r="D9" s="307"/>
      <c r="E9" s="307"/>
      <c r="F9" s="307"/>
      <c r="G9" s="307"/>
      <c r="H9" s="307"/>
      <c r="I9" s="308"/>
      <c r="J9" s="281"/>
      <c r="K9" s="309" t="s">
        <v>183</v>
      </c>
      <c r="L9" s="310"/>
      <c r="M9" s="310"/>
      <c r="N9" s="311"/>
    </row>
    <row r="10" spans="1:14" x14ac:dyDescent="0.25">
      <c r="B10" s="312" t="s">
        <v>193</v>
      </c>
      <c r="C10" s="313"/>
      <c r="D10" s="313"/>
      <c r="E10" s="314"/>
      <c r="F10" s="315" t="s">
        <v>194</v>
      </c>
      <c r="G10" s="313"/>
      <c r="H10" s="313"/>
      <c r="I10" s="316"/>
      <c r="J10" s="281"/>
      <c r="K10" s="97" t="s">
        <v>135</v>
      </c>
      <c r="L10" s="98" t="s">
        <v>136</v>
      </c>
      <c r="M10" s="98" t="s">
        <v>137</v>
      </c>
      <c r="N10" s="99" t="s">
        <v>225</v>
      </c>
    </row>
    <row r="11" spans="1:14" ht="15.75" thickBot="1" x14ac:dyDescent="0.3">
      <c r="A11" s="137"/>
      <c r="B11" s="225">
        <f>StartDate</f>
        <v>43831</v>
      </c>
      <c r="C11" s="226">
        <f>EDATE(B11,3)</f>
        <v>43922</v>
      </c>
      <c r="D11" s="226">
        <f t="shared" ref="D11" si="0">EDATE(C11,3)</f>
        <v>44013</v>
      </c>
      <c r="E11" s="226">
        <f t="shared" ref="E11" si="1">EDATE(D11,3)</f>
        <v>44105</v>
      </c>
      <c r="F11" s="226">
        <f t="shared" ref="F11" si="2">EDATE(E11,3)</f>
        <v>44197</v>
      </c>
      <c r="G11" s="226">
        <f t="shared" ref="G11" si="3">EDATE(F11,3)</f>
        <v>44287</v>
      </c>
      <c r="H11" s="226">
        <f t="shared" ref="H11" si="4">EDATE(G11,3)</f>
        <v>44378</v>
      </c>
      <c r="I11" s="227">
        <f t="shared" ref="I11" si="5">EDATE(H11,3)</f>
        <v>44470</v>
      </c>
      <c r="J11" s="281"/>
      <c r="K11" s="225">
        <f>EDATE(I11,3)</f>
        <v>44562</v>
      </c>
      <c r="L11" s="226">
        <f t="shared" ref="L11" si="6">EDATE(K11,12)</f>
        <v>44927</v>
      </c>
      <c r="M11" s="226">
        <f t="shared" ref="M11" si="7">EDATE(L11,12)</f>
        <v>45292</v>
      </c>
      <c r="N11" s="228">
        <f t="shared" ref="N11" si="8">EDATE(M11,12)</f>
        <v>45658</v>
      </c>
    </row>
    <row r="12" spans="1:14" ht="15.75" thickTop="1" x14ac:dyDescent="0.25">
      <c r="A12" s="237" t="s">
        <v>180</v>
      </c>
      <c r="B12" s="238"/>
      <c r="C12" s="239"/>
      <c r="D12" s="239"/>
      <c r="E12" s="239"/>
      <c r="F12" s="239"/>
      <c r="G12" s="239"/>
      <c r="H12" s="239"/>
      <c r="I12" s="240"/>
      <c r="J12" s="281"/>
      <c r="K12" s="238"/>
      <c r="L12" s="239"/>
      <c r="M12" s="239"/>
      <c r="N12" s="240"/>
    </row>
    <row r="13" spans="1:14" x14ac:dyDescent="0.25">
      <c r="A13" s="222" t="s">
        <v>176</v>
      </c>
      <c r="B13" s="234"/>
      <c r="C13" s="235"/>
      <c r="D13" s="235"/>
      <c r="E13" s="235"/>
      <c r="F13" s="235">
        <v>90</v>
      </c>
      <c r="G13" s="235">
        <v>90</v>
      </c>
      <c r="H13" s="235">
        <v>90</v>
      </c>
      <c r="I13" s="236">
        <v>90</v>
      </c>
      <c r="J13" s="281"/>
      <c r="K13" s="234">
        <v>90</v>
      </c>
      <c r="L13" s="235">
        <v>90</v>
      </c>
      <c r="M13" s="235">
        <v>90</v>
      </c>
      <c r="N13" s="236">
        <v>90</v>
      </c>
    </row>
    <row r="14" spans="1:14" x14ac:dyDescent="0.25">
      <c r="A14" s="222" t="s">
        <v>177</v>
      </c>
      <c r="B14" s="234"/>
      <c r="C14" s="235"/>
      <c r="D14" s="235"/>
      <c r="E14" s="235"/>
      <c r="F14" s="235">
        <v>60</v>
      </c>
      <c r="G14" s="235">
        <v>60</v>
      </c>
      <c r="H14" s="235">
        <v>60</v>
      </c>
      <c r="I14" s="236">
        <v>60</v>
      </c>
      <c r="J14" s="281"/>
      <c r="K14" s="234">
        <v>60</v>
      </c>
      <c r="L14" s="235">
        <v>60</v>
      </c>
      <c r="M14" s="235">
        <v>60</v>
      </c>
      <c r="N14" s="236">
        <v>60</v>
      </c>
    </row>
    <row r="15" spans="1:14" x14ac:dyDescent="0.25">
      <c r="A15" s="222" t="s">
        <v>178</v>
      </c>
      <c r="B15" s="234"/>
      <c r="C15" s="235"/>
      <c r="D15" s="235"/>
      <c r="E15" s="235"/>
      <c r="F15" s="235">
        <v>15</v>
      </c>
      <c r="G15" s="235">
        <v>15</v>
      </c>
      <c r="H15" s="235">
        <v>15</v>
      </c>
      <c r="I15" s="236">
        <v>15</v>
      </c>
      <c r="J15" s="281"/>
      <c r="K15" s="234">
        <v>15</v>
      </c>
      <c r="L15" s="235">
        <v>15</v>
      </c>
      <c r="M15" s="235">
        <v>15</v>
      </c>
      <c r="N15" s="236">
        <v>15</v>
      </c>
    </row>
    <row r="16" spans="1:14" x14ac:dyDescent="0.25">
      <c r="A16" s="222" t="s">
        <v>179</v>
      </c>
      <c r="B16" s="234"/>
      <c r="C16" s="235"/>
      <c r="D16" s="235"/>
      <c r="E16" s="235"/>
      <c r="F16" s="235"/>
      <c r="G16" s="235"/>
      <c r="H16" s="235"/>
      <c r="I16" s="236"/>
      <c r="J16" s="281"/>
      <c r="K16" s="234"/>
      <c r="L16" s="235"/>
      <c r="M16" s="235"/>
      <c r="N16" s="236"/>
    </row>
    <row r="17" spans="1:14" x14ac:dyDescent="0.25">
      <c r="A17" s="221" t="s">
        <v>185</v>
      </c>
      <c r="B17" s="201"/>
      <c r="C17" s="202"/>
      <c r="D17" s="202"/>
      <c r="E17" s="202"/>
      <c r="F17" s="202"/>
      <c r="G17" s="202"/>
      <c r="H17" s="202"/>
      <c r="I17" s="203"/>
      <c r="J17" s="281"/>
      <c r="K17" s="201"/>
      <c r="L17" s="202"/>
      <c r="M17" s="202"/>
      <c r="N17" s="203"/>
    </row>
    <row r="18" spans="1:14" x14ac:dyDescent="0.25">
      <c r="A18" s="222" t="s">
        <v>49</v>
      </c>
      <c r="B18" s="174">
        <f>Revenues!B19</f>
        <v>0</v>
      </c>
      <c r="C18" s="75">
        <f>Revenues!C19</f>
        <v>0</v>
      </c>
      <c r="D18" s="75">
        <f>Revenues!D19</f>
        <v>0</v>
      </c>
      <c r="E18" s="75">
        <f>Revenues!E19</f>
        <v>0</v>
      </c>
      <c r="F18" s="75">
        <f>Revenues!F19</f>
        <v>578549.99999999988</v>
      </c>
      <c r="G18" s="75">
        <f>Revenues!G19</f>
        <v>578549.99999999988</v>
      </c>
      <c r="H18" s="75">
        <f>Revenues!H19</f>
        <v>578549.99999999988</v>
      </c>
      <c r="I18" s="175">
        <f>Revenues!I19</f>
        <v>578549.99999999988</v>
      </c>
      <c r="J18" s="281"/>
      <c r="K18" s="174">
        <f>Revenues!K19</f>
        <v>7592399.9999999991</v>
      </c>
      <c r="L18" s="75">
        <f>Revenues!L19</f>
        <v>12870600</v>
      </c>
      <c r="M18" s="75">
        <f>Revenues!M19</f>
        <v>21112800</v>
      </c>
      <c r="N18" s="175">
        <f>Revenues!N19</f>
        <v>35283000</v>
      </c>
    </row>
    <row r="19" spans="1:14" ht="15.75" thickBot="1" x14ac:dyDescent="0.3">
      <c r="A19" s="229" t="s">
        <v>170</v>
      </c>
      <c r="B19" s="230">
        <f>IF($B$5="Bottom-up",COGS!B52,COGS!B21)</f>
        <v>0</v>
      </c>
      <c r="C19" s="231">
        <f>IF($B$5="Bottom-up",COGS!C52,COGS!C21)</f>
        <v>0</v>
      </c>
      <c r="D19" s="231">
        <f>IF($B$5="Bottom-up",COGS!D52,COGS!D21)</f>
        <v>0</v>
      </c>
      <c r="E19" s="231">
        <f>IF($B$5="Bottom-up",COGS!E52,COGS!E21)</f>
        <v>0</v>
      </c>
      <c r="F19" s="231">
        <f>IF($B$5="Bottom-up",COGS!F52,COGS!F21)</f>
        <v>231140</v>
      </c>
      <c r="G19" s="231">
        <f>IF($B$5="Bottom-up",COGS!G52,COGS!G21)</f>
        <v>231140</v>
      </c>
      <c r="H19" s="231">
        <f>IF($B$5="Bottom-up",COGS!H52,COGS!H21)</f>
        <v>231140</v>
      </c>
      <c r="I19" s="232">
        <f>IF($B$5="Bottom-up",COGS!I52,COGS!I21)</f>
        <v>231140</v>
      </c>
      <c r="J19" s="281"/>
      <c r="K19" s="230">
        <f>IF($B$5="Bottom-up",COGS!K52,COGS!K21)</f>
        <v>3621196.8000000007</v>
      </c>
      <c r="L19" s="231">
        <f>IF($B$5="Bottom-up",COGS!L52,COGS!L21)</f>
        <v>6532085.2480000006</v>
      </c>
      <c r="M19" s="231">
        <f>IF($B$5="Bottom-up",COGS!M52,COGS!M21)</f>
        <v>11506728.796160001</v>
      </c>
      <c r="N19" s="232">
        <f>IF($B$5="Bottom-up",COGS!N52,COGS!N21)</f>
        <v>20689182.605312005</v>
      </c>
    </row>
    <row r="20" spans="1:14" ht="15.75" thickTop="1" x14ac:dyDescent="0.25"/>
    <row r="22" spans="1:14" ht="19.5" x14ac:dyDescent="0.3">
      <c r="A22" s="32" t="s">
        <v>168</v>
      </c>
    </row>
    <row r="23" spans="1:14" x14ac:dyDescent="0.25">
      <c r="B23" s="306" t="s">
        <v>182</v>
      </c>
      <c r="C23" s="307"/>
      <c r="D23" s="307"/>
      <c r="E23" s="307"/>
      <c r="F23" s="307"/>
      <c r="G23" s="307"/>
      <c r="H23" s="307"/>
      <c r="I23" s="308"/>
      <c r="J23" s="281"/>
      <c r="K23" s="309" t="s">
        <v>183</v>
      </c>
      <c r="L23" s="310"/>
      <c r="M23" s="310"/>
      <c r="N23" s="311"/>
    </row>
    <row r="24" spans="1:14" x14ac:dyDescent="0.25">
      <c r="B24" s="312" t="s">
        <v>193</v>
      </c>
      <c r="C24" s="313"/>
      <c r="D24" s="313"/>
      <c r="E24" s="314"/>
      <c r="F24" s="315" t="s">
        <v>194</v>
      </c>
      <c r="G24" s="313"/>
      <c r="H24" s="313"/>
      <c r="I24" s="316"/>
      <c r="J24" s="281"/>
      <c r="K24" s="97" t="s">
        <v>135</v>
      </c>
      <c r="L24" s="98" t="s">
        <v>136</v>
      </c>
      <c r="M24" s="98" t="s">
        <v>137</v>
      </c>
      <c r="N24" s="99" t="s">
        <v>225</v>
      </c>
    </row>
    <row r="25" spans="1:14" ht="15.75" thickBot="1" x14ac:dyDescent="0.3">
      <c r="A25" s="137"/>
      <c r="B25" s="225">
        <f>StartDate</f>
        <v>43831</v>
      </c>
      <c r="C25" s="226">
        <f>EDATE(B25,3)</f>
        <v>43922</v>
      </c>
      <c r="D25" s="226">
        <f t="shared" ref="D25" si="9">EDATE(C25,3)</f>
        <v>44013</v>
      </c>
      <c r="E25" s="226">
        <f t="shared" ref="E25" si="10">EDATE(D25,3)</f>
        <v>44105</v>
      </c>
      <c r="F25" s="226">
        <f t="shared" ref="F25" si="11">EDATE(E25,3)</f>
        <v>44197</v>
      </c>
      <c r="G25" s="226">
        <f t="shared" ref="G25" si="12">EDATE(F25,3)</f>
        <v>44287</v>
      </c>
      <c r="H25" s="226">
        <f t="shared" ref="H25" si="13">EDATE(G25,3)</f>
        <v>44378</v>
      </c>
      <c r="I25" s="227">
        <f t="shared" ref="I25" si="14">EDATE(H25,3)</f>
        <v>44470</v>
      </c>
      <c r="J25" s="281"/>
      <c r="K25" s="225">
        <f>EDATE(I25,3)</f>
        <v>44562</v>
      </c>
      <c r="L25" s="226">
        <f t="shared" ref="L25" si="15">EDATE(K25,12)</f>
        <v>44927</v>
      </c>
      <c r="M25" s="226">
        <f t="shared" ref="M25" si="16">EDATE(L25,12)</f>
        <v>45292</v>
      </c>
      <c r="N25" s="228">
        <f t="shared" ref="N25" si="17">EDATE(M25,12)</f>
        <v>45658</v>
      </c>
    </row>
    <row r="26" spans="1:14" ht="15.75" thickTop="1" x14ac:dyDescent="0.25">
      <c r="A26" s="221" t="s">
        <v>189</v>
      </c>
      <c r="B26" s="201"/>
      <c r="C26" s="202"/>
      <c r="D26" s="202"/>
      <c r="E26" s="202"/>
      <c r="F26" s="202"/>
      <c r="G26" s="202"/>
      <c r="H26" s="202"/>
      <c r="I26" s="203"/>
      <c r="J26" s="281"/>
      <c r="K26" s="201"/>
      <c r="L26" s="202"/>
      <c r="M26" s="202"/>
      <c r="N26" s="203"/>
    </row>
    <row r="27" spans="1:14" x14ac:dyDescent="0.25">
      <c r="A27" s="233" t="s">
        <v>184</v>
      </c>
      <c r="B27" s="174">
        <f t="shared" ref="B27:D27" si="18">B18*B13/(365/4)</f>
        <v>0</v>
      </c>
      <c r="C27" s="75">
        <f t="shared" si="18"/>
        <v>0</v>
      </c>
      <c r="D27" s="75">
        <f t="shared" si="18"/>
        <v>0</v>
      </c>
      <c r="E27" s="75">
        <f>E18*E13/(365/4)</f>
        <v>0</v>
      </c>
      <c r="F27" s="75">
        <f>F18*F13/(365/4)</f>
        <v>570624.65753424645</v>
      </c>
      <c r="G27" s="75">
        <f t="shared" ref="G27:I27" si="19">G18*G13/(365/4)</f>
        <v>570624.65753424645</v>
      </c>
      <c r="H27" s="75">
        <f t="shared" si="19"/>
        <v>570624.65753424645</v>
      </c>
      <c r="I27" s="175">
        <f t="shared" si="19"/>
        <v>570624.65753424645</v>
      </c>
      <c r="J27" s="281"/>
      <c r="K27" s="174">
        <f t="shared" ref="K27:N28" si="20">K18*K13/365</f>
        <v>1872098.630136986</v>
      </c>
      <c r="L27" s="75">
        <f t="shared" si="20"/>
        <v>3173572.6027397262</v>
      </c>
      <c r="M27" s="75">
        <f t="shared" si="20"/>
        <v>5205895.8904109588</v>
      </c>
      <c r="N27" s="175">
        <f t="shared" si="20"/>
        <v>8699917.8082191776</v>
      </c>
    </row>
    <row r="28" spans="1:14" ht="15.75" thickBot="1" x14ac:dyDescent="0.3">
      <c r="A28" s="241" t="s">
        <v>171</v>
      </c>
      <c r="B28" s="230">
        <f t="shared" ref="B28:E28" si="21">B19*B14/(365/4)</f>
        <v>0</v>
      </c>
      <c r="C28" s="231">
        <f t="shared" si="21"/>
        <v>0</v>
      </c>
      <c r="D28" s="231">
        <f t="shared" si="21"/>
        <v>0</v>
      </c>
      <c r="E28" s="231">
        <f t="shared" si="21"/>
        <v>0</v>
      </c>
      <c r="F28" s="231">
        <f>F19*F14/(365/4)</f>
        <v>151982.46575342465</v>
      </c>
      <c r="G28" s="231">
        <f t="shared" ref="G28:I28" si="22">G19*G14/(365/4)</f>
        <v>151982.46575342465</v>
      </c>
      <c r="H28" s="231">
        <f t="shared" si="22"/>
        <v>151982.46575342465</v>
      </c>
      <c r="I28" s="232">
        <f t="shared" si="22"/>
        <v>151982.46575342465</v>
      </c>
      <c r="J28" s="281"/>
      <c r="K28" s="230">
        <f t="shared" si="20"/>
        <v>595265.22739726049</v>
      </c>
      <c r="L28" s="231">
        <f t="shared" si="20"/>
        <v>1073767.4380273975</v>
      </c>
      <c r="M28" s="231">
        <f t="shared" si="20"/>
        <v>1891517.0623824659</v>
      </c>
      <c r="N28" s="232">
        <f t="shared" si="20"/>
        <v>3400961.5241608778</v>
      </c>
    </row>
    <row r="29" spans="1:14" ht="15.75" thickTop="1" x14ac:dyDescent="0.25">
      <c r="A29" s="242" t="s">
        <v>191</v>
      </c>
      <c r="B29" s="217">
        <f t="shared" ref="B29" si="23">SUM(B27:B28)</f>
        <v>0</v>
      </c>
      <c r="C29" s="218">
        <f t="shared" ref="C29:I29" si="24">SUM(C27:C28)</f>
        <v>0</v>
      </c>
      <c r="D29" s="218">
        <f t="shared" si="24"/>
        <v>0</v>
      </c>
      <c r="E29" s="218">
        <f t="shared" si="24"/>
        <v>0</v>
      </c>
      <c r="F29" s="218">
        <f t="shared" si="24"/>
        <v>722607.12328767113</v>
      </c>
      <c r="G29" s="218">
        <f t="shared" si="24"/>
        <v>722607.12328767113</v>
      </c>
      <c r="H29" s="218">
        <f t="shared" si="24"/>
        <v>722607.12328767113</v>
      </c>
      <c r="I29" s="219">
        <f t="shared" si="24"/>
        <v>722607.12328767113</v>
      </c>
      <c r="J29" s="281"/>
      <c r="K29" s="217">
        <f t="shared" ref="K29:N29" si="25">SUM(K27:K28)</f>
        <v>2467363.8575342465</v>
      </c>
      <c r="L29" s="218">
        <f t="shared" si="25"/>
        <v>4247340.0407671239</v>
      </c>
      <c r="M29" s="218">
        <f t="shared" si="25"/>
        <v>7097412.9527934249</v>
      </c>
      <c r="N29" s="219">
        <f t="shared" si="25"/>
        <v>12100879.332380056</v>
      </c>
    </row>
    <row r="30" spans="1:14" x14ac:dyDescent="0.25">
      <c r="A30" s="223"/>
      <c r="B30" s="243"/>
      <c r="C30" s="244"/>
      <c r="D30" s="244"/>
      <c r="E30" s="244"/>
      <c r="F30" s="244"/>
      <c r="G30" s="244"/>
      <c r="H30" s="244"/>
      <c r="I30" s="245"/>
      <c r="J30" s="281"/>
      <c r="K30" s="243"/>
      <c r="L30" s="244"/>
      <c r="M30" s="244"/>
      <c r="N30" s="245"/>
    </row>
    <row r="31" spans="1:14" x14ac:dyDescent="0.25">
      <c r="A31" s="221" t="s">
        <v>190</v>
      </c>
      <c r="B31" s="201"/>
      <c r="C31" s="202"/>
      <c r="D31" s="202"/>
      <c r="E31" s="202"/>
      <c r="F31" s="202"/>
      <c r="G31" s="202"/>
      <c r="H31" s="202"/>
      <c r="I31" s="203"/>
      <c r="J31" s="281"/>
      <c r="K31" s="201"/>
      <c r="L31" s="202"/>
      <c r="M31" s="202"/>
      <c r="N31" s="203"/>
    </row>
    <row r="32" spans="1:14" ht="15.75" thickBot="1" x14ac:dyDescent="0.3">
      <c r="A32" s="233" t="s">
        <v>172</v>
      </c>
      <c r="B32" s="174">
        <f t="shared" ref="B32:E32" si="26">B19*B15/(365/4)</f>
        <v>0</v>
      </c>
      <c r="C32" s="75">
        <f t="shared" si="26"/>
        <v>0</v>
      </c>
      <c r="D32" s="75">
        <f t="shared" si="26"/>
        <v>0</v>
      </c>
      <c r="E32" s="75">
        <f t="shared" si="26"/>
        <v>0</v>
      </c>
      <c r="F32" s="75">
        <f>F19*F15/(365/4)</f>
        <v>37995.616438356163</v>
      </c>
      <c r="G32" s="75">
        <f t="shared" ref="G32:I32" si="27">G19*G15/(365/4)</f>
        <v>37995.616438356163</v>
      </c>
      <c r="H32" s="75">
        <f t="shared" si="27"/>
        <v>37995.616438356163</v>
      </c>
      <c r="I32" s="175">
        <f t="shared" si="27"/>
        <v>37995.616438356163</v>
      </c>
      <c r="J32" s="281"/>
      <c r="K32" s="174">
        <f>K19*K15/365</f>
        <v>148816.30684931512</v>
      </c>
      <c r="L32" s="75">
        <f>L19*L15/365</f>
        <v>268441.85950684937</v>
      </c>
      <c r="M32" s="75">
        <f>M19*M15/365</f>
        <v>472879.26559561648</v>
      </c>
      <c r="N32" s="175">
        <f>N19*N15/365</f>
        <v>850240.38104021945</v>
      </c>
    </row>
    <row r="33" spans="1:14" ht="15.75" thickTop="1" x14ac:dyDescent="0.25">
      <c r="A33" s="242" t="s">
        <v>191</v>
      </c>
      <c r="B33" s="217">
        <f t="shared" ref="B33:N33" si="28">SUM(B32:B32)</f>
        <v>0</v>
      </c>
      <c r="C33" s="218">
        <f t="shared" si="28"/>
        <v>0</v>
      </c>
      <c r="D33" s="218">
        <f t="shared" si="28"/>
        <v>0</v>
      </c>
      <c r="E33" s="218">
        <f t="shared" si="28"/>
        <v>0</v>
      </c>
      <c r="F33" s="218">
        <f t="shared" si="28"/>
        <v>37995.616438356163</v>
      </c>
      <c r="G33" s="218">
        <f t="shared" si="28"/>
        <v>37995.616438356163</v>
      </c>
      <c r="H33" s="218">
        <f t="shared" si="28"/>
        <v>37995.616438356163</v>
      </c>
      <c r="I33" s="219">
        <f t="shared" si="28"/>
        <v>37995.616438356163</v>
      </c>
      <c r="J33" s="281"/>
      <c r="K33" s="217">
        <f t="shared" si="28"/>
        <v>148816.30684931512</v>
      </c>
      <c r="L33" s="218">
        <f t="shared" si="28"/>
        <v>268441.85950684937</v>
      </c>
      <c r="M33" s="218">
        <f t="shared" si="28"/>
        <v>472879.26559561648</v>
      </c>
      <c r="N33" s="219">
        <f t="shared" si="28"/>
        <v>850240.38104021945</v>
      </c>
    </row>
    <row r="34" spans="1:14" ht="15.75" thickBot="1" x14ac:dyDescent="0.3">
      <c r="A34" s="220"/>
      <c r="B34" s="199"/>
      <c r="I34" s="200"/>
      <c r="J34" s="281"/>
      <c r="K34" s="199"/>
      <c r="N34" s="200"/>
    </row>
    <row r="35" spans="1:14" ht="15.75" thickTop="1" x14ac:dyDescent="0.25">
      <c r="A35" s="242" t="s">
        <v>173</v>
      </c>
      <c r="B35" s="217">
        <f t="shared" ref="B35:N35" si="29">B29-B33</f>
        <v>0</v>
      </c>
      <c r="C35" s="218">
        <f t="shared" si="29"/>
        <v>0</v>
      </c>
      <c r="D35" s="218">
        <f t="shared" si="29"/>
        <v>0</v>
      </c>
      <c r="E35" s="218">
        <f t="shared" si="29"/>
        <v>0</v>
      </c>
      <c r="F35" s="218">
        <f t="shared" si="29"/>
        <v>684611.50684931502</v>
      </c>
      <c r="G35" s="218">
        <f t="shared" si="29"/>
        <v>684611.50684931502</v>
      </c>
      <c r="H35" s="218">
        <f t="shared" si="29"/>
        <v>684611.50684931502</v>
      </c>
      <c r="I35" s="219">
        <f t="shared" si="29"/>
        <v>684611.50684931502</v>
      </c>
      <c r="J35" s="281"/>
      <c r="K35" s="217">
        <f t="shared" si="29"/>
        <v>2318547.5506849312</v>
      </c>
      <c r="L35" s="218">
        <f t="shared" si="29"/>
        <v>3978898.1812602747</v>
      </c>
      <c r="M35" s="218">
        <f t="shared" si="29"/>
        <v>6624533.6871978082</v>
      </c>
      <c r="N35" s="219">
        <f t="shared" si="29"/>
        <v>11250638.951339837</v>
      </c>
    </row>
    <row r="36" spans="1:14" ht="15.75" thickBot="1" x14ac:dyDescent="0.3">
      <c r="A36" s="246" t="s">
        <v>188</v>
      </c>
      <c r="B36" s="247">
        <f>B35</f>
        <v>0</v>
      </c>
      <c r="C36" s="248">
        <f>B35-C35</f>
        <v>0</v>
      </c>
      <c r="D36" s="248">
        <f t="shared" ref="D36:N36" si="30">C35-D35</f>
        <v>0</v>
      </c>
      <c r="E36" s="248">
        <f t="shared" si="30"/>
        <v>0</v>
      </c>
      <c r="F36" s="248">
        <f>E35-F35</f>
        <v>-684611.50684931502</v>
      </c>
      <c r="G36" s="248">
        <f>F35-G35</f>
        <v>0</v>
      </c>
      <c r="H36" s="248">
        <f t="shared" si="30"/>
        <v>0</v>
      </c>
      <c r="I36" s="249">
        <f t="shared" si="30"/>
        <v>0</v>
      </c>
      <c r="J36" s="281"/>
      <c r="K36" s="247">
        <f>I35-K35</f>
        <v>-1633936.0438356162</v>
      </c>
      <c r="L36" s="248">
        <f t="shared" si="30"/>
        <v>-1660350.6305753435</v>
      </c>
      <c r="M36" s="248">
        <f t="shared" si="30"/>
        <v>-2645635.5059375335</v>
      </c>
      <c r="N36" s="249">
        <f t="shared" si="30"/>
        <v>-4626105.264142029</v>
      </c>
    </row>
    <row r="37" spans="1:14" ht="15.75" thickTop="1" x14ac:dyDescent="0.25">
      <c r="A37" s="220"/>
      <c r="B37" s="199"/>
      <c r="I37" s="200"/>
      <c r="J37" s="281"/>
      <c r="K37" s="199"/>
      <c r="N37" s="200"/>
    </row>
    <row r="38" spans="1:14" x14ac:dyDescent="0.25">
      <c r="A38" s="221" t="s">
        <v>169</v>
      </c>
      <c r="B38" s="201"/>
      <c r="C38" s="202"/>
      <c r="D38" s="202"/>
      <c r="E38" s="202"/>
      <c r="F38" s="202"/>
      <c r="G38" s="202"/>
      <c r="H38" s="202"/>
      <c r="I38" s="203"/>
      <c r="J38" s="281"/>
      <c r="K38" s="201"/>
      <c r="L38" s="202"/>
      <c r="M38" s="202"/>
      <c r="N38" s="203"/>
    </row>
    <row r="39" spans="1:14" x14ac:dyDescent="0.25">
      <c r="A39" s="224" t="s">
        <v>175</v>
      </c>
      <c r="B39" s="174">
        <f>B27</f>
        <v>0</v>
      </c>
      <c r="C39" s="75">
        <f t="shared" ref="C39:N39" si="31">B27-C27</f>
        <v>0</v>
      </c>
      <c r="D39" s="75">
        <f t="shared" si="31"/>
        <v>0</v>
      </c>
      <c r="E39" s="75">
        <f t="shared" si="31"/>
        <v>0</v>
      </c>
      <c r="F39" s="75">
        <f>E27-F27</f>
        <v>-570624.65753424645</v>
      </c>
      <c r="G39" s="75">
        <f t="shared" si="31"/>
        <v>0</v>
      </c>
      <c r="H39" s="75">
        <f t="shared" si="31"/>
        <v>0</v>
      </c>
      <c r="I39" s="175">
        <f t="shared" si="31"/>
        <v>0</v>
      </c>
      <c r="J39" s="281"/>
      <c r="K39" s="174">
        <f>I27-K27</f>
        <v>-1301473.9726027395</v>
      </c>
      <c r="L39" s="75">
        <f t="shared" si="31"/>
        <v>-1301473.9726027402</v>
      </c>
      <c r="M39" s="75">
        <f t="shared" si="31"/>
        <v>-2032323.2876712326</v>
      </c>
      <c r="N39" s="175">
        <f t="shared" si="31"/>
        <v>-3494021.9178082189</v>
      </c>
    </row>
    <row r="40" spans="1:14" x14ac:dyDescent="0.25">
      <c r="A40" s="224" t="s">
        <v>171</v>
      </c>
      <c r="B40" s="174">
        <f>B28</f>
        <v>0</v>
      </c>
      <c r="C40" s="75">
        <f t="shared" ref="C40:N40" si="32">B28-C28</f>
        <v>0</v>
      </c>
      <c r="D40" s="75">
        <f t="shared" si="32"/>
        <v>0</v>
      </c>
      <c r="E40" s="75">
        <f t="shared" si="32"/>
        <v>0</v>
      </c>
      <c r="F40" s="75">
        <f t="shared" si="32"/>
        <v>-151982.46575342465</v>
      </c>
      <c r="G40" s="75">
        <f t="shared" si="32"/>
        <v>0</v>
      </c>
      <c r="H40" s="75">
        <f t="shared" si="32"/>
        <v>0</v>
      </c>
      <c r="I40" s="175">
        <f t="shared" si="32"/>
        <v>0</v>
      </c>
      <c r="J40" s="281"/>
      <c r="K40" s="174">
        <f>I28-K28</f>
        <v>-443282.76164383581</v>
      </c>
      <c r="L40" s="75">
        <f t="shared" si="32"/>
        <v>-478502.21063013701</v>
      </c>
      <c r="M40" s="75">
        <f t="shared" si="32"/>
        <v>-817749.62435506843</v>
      </c>
      <c r="N40" s="175">
        <f t="shared" si="32"/>
        <v>-1509444.4617784119</v>
      </c>
    </row>
    <row r="41" spans="1:14" ht="15.75" thickBot="1" x14ac:dyDescent="0.3">
      <c r="A41" s="224" t="s">
        <v>172</v>
      </c>
      <c r="B41" s="174">
        <f>B32</f>
        <v>0</v>
      </c>
      <c r="C41" s="75">
        <f t="shared" ref="C41:N41" si="33">C32-B32</f>
        <v>0</v>
      </c>
      <c r="D41" s="75">
        <f t="shared" si="33"/>
        <v>0</v>
      </c>
      <c r="E41" s="75">
        <f t="shared" si="33"/>
        <v>0</v>
      </c>
      <c r="F41" s="75">
        <f t="shared" si="33"/>
        <v>37995.616438356163</v>
      </c>
      <c r="G41" s="75">
        <f t="shared" si="33"/>
        <v>0</v>
      </c>
      <c r="H41" s="75">
        <f t="shared" si="33"/>
        <v>0</v>
      </c>
      <c r="I41" s="175">
        <f t="shared" si="33"/>
        <v>0</v>
      </c>
      <c r="J41" s="281"/>
      <c r="K41" s="174">
        <f>K32-I32</f>
        <v>110820.69041095895</v>
      </c>
      <c r="L41" s="75">
        <f t="shared" si="33"/>
        <v>119625.55265753425</v>
      </c>
      <c r="M41" s="75">
        <f t="shared" si="33"/>
        <v>204437.40608876711</v>
      </c>
      <c r="N41" s="175">
        <f t="shared" si="33"/>
        <v>377361.11544460297</v>
      </c>
    </row>
    <row r="42" spans="1:14" ht="15.75" thickTop="1" x14ac:dyDescent="0.25">
      <c r="A42" s="242" t="s">
        <v>174</v>
      </c>
      <c r="B42" s="217">
        <f t="shared" ref="B42:N42" si="34">SUM(B39:B41)</f>
        <v>0</v>
      </c>
      <c r="C42" s="218">
        <f t="shared" si="34"/>
        <v>0</v>
      </c>
      <c r="D42" s="218">
        <f t="shared" si="34"/>
        <v>0</v>
      </c>
      <c r="E42" s="218">
        <f t="shared" si="34"/>
        <v>0</v>
      </c>
      <c r="F42" s="218">
        <f t="shared" si="34"/>
        <v>-684611.50684931502</v>
      </c>
      <c r="G42" s="218">
        <f t="shared" si="34"/>
        <v>0</v>
      </c>
      <c r="H42" s="218">
        <f t="shared" si="34"/>
        <v>0</v>
      </c>
      <c r="I42" s="219">
        <f t="shared" si="34"/>
        <v>0</v>
      </c>
      <c r="J42" s="281"/>
      <c r="K42" s="217">
        <f t="shared" si="34"/>
        <v>-1633936.0438356162</v>
      </c>
      <c r="L42" s="218">
        <f t="shared" si="34"/>
        <v>-1660350.630575343</v>
      </c>
      <c r="M42" s="218">
        <f t="shared" si="34"/>
        <v>-2645635.5059375339</v>
      </c>
      <c r="N42" s="219">
        <f t="shared" si="34"/>
        <v>-4626105.2641420271</v>
      </c>
    </row>
    <row r="52" spans="6:10" x14ac:dyDescent="0.25">
      <c r="F52" s="252"/>
      <c r="G52" s="252"/>
      <c r="H52" s="252"/>
      <c r="I52" s="252"/>
      <c r="J52" s="252"/>
    </row>
    <row r="53" spans="6:10" x14ac:dyDescent="0.25">
      <c r="F53" s="252"/>
      <c r="G53" s="252"/>
      <c r="H53" s="252"/>
      <c r="I53" s="252"/>
      <c r="J53" s="252"/>
    </row>
    <row r="54" spans="6:10" x14ac:dyDescent="0.25">
      <c r="F54" s="252"/>
      <c r="G54" s="252"/>
      <c r="H54" s="252"/>
      <c r="I54" s="252"/>
      <c r="J54" s="252"/>
    </row>
  </sheetData>
  <mergeCells count="8">
    <mergeCell ref="B24:E24"/>
    <mergeCell ref="F24:I24"/>
    <mergeCell ref="B9:I9"/>
    <mergeCell ref="K9:N9"/>
    <mergeCell ref="B10:E10"/>
    <mergeCell ref="F10:I10"/>
    <mergeCell ref="B23:I23"/>
    <mergeCell ref="K23:N23"/>
  </mergeCells>
  <conditionalFormatting sqref="B13:I16 K13:N16">
    <cfRule type="cellIs" dxfId="52" priority="1" operator="lessThan">
      <formula>0</formula>
    </cfRule>
  </conditionalFormatting>
  <conditionalFormatting sqref="B18:I19 K18:N19">
    <cfRule type="cellIs" dxfId="51" priority="10" operator="lessThan">
      <formula>0</formula>
    </cfRule>
  </conditionalFormatting>
  <conditionalFormatting sqref="B27:I30 K27:N30">
    <cfRule type="cellIs" dxfId="50" priority="3" operator="lessThan">
      <formula>0</formula>
    </cfRule>
  </conditionalFormatting>
  <conditionalFormatting sqref="B32:I33 K32:N33">
    <cfRule type="cellIs" dxfId="49" priority="4" operator="lessThan">
      <formula>0</formula>
    </cfRule>
  </conditionalFormatting>
  <conditionalFormatting sqref="B35:I36 K35:N36">
    <cfRule type="cellIs" dxfId="48" priority="5" operator="lessThan">
      <formula>0</formula>
    </cfRule>
  </conditionalFormatting>
  <conditionalFormatting sqref="B39:I42 K39:N42">
    <cfRule type="cellIs" dxfId="47" priority="7" operator="lessThan">
      <formula>0</formula>
    </cfRule>
  </conditionalFormatting>
  <conditionalFormatting sqref="C27:I28">
    <cfRule type="cellIs" dxfId="46" priority="9" operator="lessThan">
      <formula>0</formula>
    </cfRule>
  </conditionalFormatting>
  <conditionalFormatting sqref="C32:I32">
    <cfRule type="cellIs" dxfId="45" priority="13" operator="lessThan">
      <formula>0</formula>
    </cfRule>
  </conditionalFormatting>
  <conditionalFormatting sqref="C39:I41">
    <cfRule type="cellIs" dxfId="44" priority="17" operator="lessThan">
      <formula>0</formula>
    </cfRule>
  </conditionalFormatting>
  <dataValidations count="1">
    <dataValidation type="list" allowBlank="1" showInputMessage="1" showErrorMessage="1" sqref="B5" xr:uid="{00000000-0002-0000-0C00-000000000000}">
      <formula1>COGSMethod</formula1>
    </dataValidation>
  </dataValidations>
  <pageMargins left="0.25" right="0.25" top="0.75" bottom="0.75" header="0.3" footer="0.3"/>
  <pageSetup paperSize="5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/>
    <pageSetUpPr fitToPage="1"/>
  </sheetPr>
  <dimension ref="A1:N62"/>
  <sheetViews>
    <sheetView workbookViewId="0">
      <selection activeCell="K10" sqref="K10"/>
    </sheetView>
  </sheetViews>
  <sheetFormatPr defaultColWidth="8.85546875" defaultRowHeight="15" x14ac:dyDescent="0.25"/>
  <cols>
    <col min="1" max="1" width="20.140625" customWidth="1"/>
    <col min="2" max="9" width="11.85546875" customWidth="1"/>
    <col min="10" max="10" width="9.42578125" customWidth="1"/>
    <col min="11" max="14" width="11.85546875" customWidth="1"/>
    <col min="15" max="15" width="10" customWidth="1"/>
  </cols>
  <sheetData>
    <row r="1" spans="1:14" ht="24" thickBot="1" x14ac:dyDescent="0.4">
      <c r="A1" s="33" t="s">
        <v>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 thickTop="1" x14ac:dyDescent="0.25">
      <c r="A2" s="31" t="str">
        <f>"Financing Income and Costs ("&amp;SubHeader&amp;")"</f>
        <v>Financing Income and Costs (USD)</v>
      </c>
      <c r="C2" s="28"/>
      <c r="D2" s="28"/>
    </row>
    <row r="3" spans="1:14" x14ac:dyDescent="0.25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</row>
    <row r="4" spans="1:14" ht="19.5" x14ac:dyDescent="0.3">
      <c r="A4" s="32" t="s">
        <v>125</v>
      </c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</row>
    <row r="5" spans="1:14" s="39" customFormat="1" ht="31.5" x14ac:dyDescent="0.25">
      <c r="B5" s="67" t="s">
        <v>80</v>
      </c>
      <c r="C5" s="68" t="s">
        <v>77</v>
      </c>
      <c r="D5" s="323" t="s">
        <v>78</v>
      </c>
      <c r="E5" s="324"/>
      <c r="F5" s="324"/>
      <c r="G5" s="324"/>
      <c r="H5" s="325"/>
      <c r="M5" s="29"/>
      <c r="N5" s="29"/>
    </row>
    <row r="6" spans="1:14" ht="15" customHeight="1" x14ac:dyDescent="0.25">
      <c r="A6" s="40" t="s">
        <v>127</v>
      </c>
      <c r="B6" s="111">
        <v>500000</v>
      </c>
      <c r="C6" s="190">
        <v>43831</v>
      </c>
      <c r="D6" s="326" t="s">
        <v>284</v>
      </c>
      <c r="E6" s="327"/>
      <c r="F6" s="327"/>
      <c r="G6" s="327"/>
      <c r="H6" s="328"/>
      <c r="M6" s="29"/>
      <c r="N6" s="29"/>
    </row>
    <row r="7" spans="1:14" x14ac:dyDescent="0.25">
      <c r="A7" s="41" t="s">
        <v>128</v>
      </c>
      <c r="B7" s="105">
        <v>2000000</v>
      </c>
      <c r="C7" s="191">
        <v>43983</v>
      </c>
      <c r="D7" s="320" t="s">
        <v>285</v>
      </c>
      <c r="E7" s="321"/>
      <c r="F7" s="321"/>
      <c r="G7" s="321"/>
      <c r="H7" s="322"/>
      <c r="M7" s="29"/>
      <c r="N7" s="29"/>
    </row>
    <row r="8" spans="1:14" x14ac:dyDescent="0.25">
      <c r="A8" s="41" t="s">
        <v>129</v>
      </c>
      <c r="B8" s="105">
        <v>500000</v>
      </c>
      <c r="C8" s="191">
        <v>44927</v>
      </c>
      <c r="D8" s="320" t="s">
        <v>286</v>
      </c>
      <c r="E8" s="321"/>
      <c r="F8" s="321"/>
      <c r="G8" s="321"/>
      <c r="H8" s="322"/>
      <c r="M8" s="29"/>
      <c r="N8" s="29"/>
    </row>
    <row r="9" spans="1:14" x14ac:dyDescent="0.25">
      <c r="A9" s="41" t="s">
        <v>130</v>
      </c>
      <c r="B9" s="105"/>
      <c r="C9" s="191"/>
      <c r="D9" s="320"/>
      <c r="E9" s="321"/>
      <c r="F9" s="321"/>
      <c r="G9" s="321"/>
      <c r="H9" s="322"/>
      <c r="M9" s="29"/>
      <c r="N9" s="29"/>
    </row>
    <row r="10" spans="1:14" x14ac:dyDescent="0.25">
      <c r="A10" s="41" t="s">
        <v>131</v>
      </c>
      <c r="B10" s="105"/>
      <c r="C10" s="191"/>
      <c r="D10" s="320"/>
      <c r="E10" s="321"/>
      <c r="F10" s="321"/>
      <c r="G10" s="321"/>
      <c r="H10" s="322"/>
      <c r="M10" s="29"/>
      <c r="N10" s="29"/>
    </row>
    <row r="11" spans="1:14" x14ac:dyDescent="0.25">
      <c r="A11" s="41" t="s">
        <v>132</v>
      </c>
      <c r="B11" s="105"/>
      <c r="C11" s="191"/>
      <c r="D11" s="320"/>
      <c r="E11" s="321"/>
      <c r="F11" s="321"/>
      <c r="G11" s="321"/>
      <c r="H11" s="322"/>
      <c r="M11" s="29"/>
      <c r="N11" s="29"/>
    </row>
    <row r="12" spans="1:14" x14ac:dyDescent="0.25">
      <c r="A12" s="41" t="s">
        <v>133</v>
      </c>
      <c r="B12" s="105"/>
      <c r="C12" s="191"/>
      <c r="D12" s="320"/>
      <c r="E12" s="321"/>
      <c r="F12" s="321"/>
      <c r="G12" s="321"/>
      <c r="H12" s="322"/>
      <c r="M12" s="29"/>
      <c r="N12" s="29"/>
    </row>
    <row r="13" spans="1:14" x14ac:dyDescent="0.25">
      <c r="A13" s="42" t="s">
        <v>81</v>
      </c>
      <c r="B13" s="187"/>
      <c r="C13" s="192"/>
      <c r="D13" s="317"/>
      <c r="E13" s="318"/>
      <c r="F13" s="318"/>
      <c r="G13" s="318"/>
      <c r="H13" s="319"/>
      <c r="M13" s="29"/>
      <c r="N13" s="29"/>
    </row>
    <row r="14" spans="1:14" x14ac:dyDescent="0.25">
      <c r="A14" s="55"/>
      <c r="B14" s="55"/>
      <c r="C14" s="55"/>
      <c r="D14" s="55"/>
      <c r="E14" s="55"/>
      <c r="F14" s="29"/>
      <c r="G14" s="29"/>
      <c r="H14" s="29"/>
      <c r="I14" s="29"/>
      <c r="J14" s="29"/>
      <c r="K14" s="29"/>
      <c r="L14" s="29"/>
      <c r="M14" s="29"/>
      <c r="N14" s="29"/>
    </row>
    <row r="15" spans="1:14" x14ac:dyDescent="0.25">
      <c r="B15" s="25"/>
      <c r="C15" s="29"/>
      <c r="D15" s="29"/>
      <c r="E15" s="29"/>
      <c r="F15" s="29"/>
      <c r="G15" s="29"/>
      <c r="H15" s="30"/>
      <c r="I15" s="30"/>
      <c r="J15" s="30"/>
      <c r="K15" s="30"/>
      <c r="L15" s="30"/>
      <c r="M15" s="30"/>
      <c r="N15" s="30"/>
    </row>
    <row r="16" spans="1:14" ht="19.5" x14ac:dyDescent="0.3">
      <c r="A16" s="32" t="s">
        <v>82</v>
      </c>
      <c r="B16" s="25"/>
      <c r="C16" s="29"/>
      <c r="D16" s="29"/>
      <c r="E16" s="29"/>
      <c r="F16" s="29"/>
      <c r="G16" s="29"/>
      <c r="H16" s="30"/>
      <c r="I16" s="29"/>
      <c r="J16" s="29"/>
      <c r="K16" s="29"/>
      <c r="L16" s="30"/>
      <c r="M16" s="30"/>
      <c r="N16" s="30"/>
    </row>
    <row r="17" spans="1:14" ht="47.25" x14ac:dyDescent="0.25">
      <c r="A17" s="39"/>
      <c r="B17" s="67" t="s">
        <v>88</v>
      </c>
      <c r="C17" s="64" t="s">
        <v>91</v>
      </c>
      <c r="D17" s="64" t="s">
        <v>90</v>
      </c>
      <c r="E17" s="64" t="s">
        <v>89</v>
      </c>
      <c r="F17" s="323" t="s">
        <v>78</v>
      </c>
      <c r="G17" s="324"/>
      <c r="H17" s="324"/>
      <c r="I17" s="324"/>
      <c r="J17" s="324"/>
      <c r="K17" s="325"/>
      <c r="L17" s="30"/>
      <c r="M17" s="30"/>
      <c r="N17" s="30"/>
    </row>
    <row r="18" spans="1:14" x14ac:dyDescent="0.25">
      <c r="A18" s="40" t="s">
        <v>83</v>
      </c>
      <c r="B18" s="111"/>
      <c r="C18" s="111"/>
      <c r="D18" s="190"/>
      <c r="E18" s="111"/>
      <c r="F18" s="326"/>
      <c r="G18" s="327"/>
      <c r="H18" s="327"/>
      <c r="I18" s="327"/>
      <c r="J18" s="327"/>
      <c r="K18" s="328"/>
      <c r="L18" s="30"/>
      <c r="M18" s="30"/>
      <c r="N18" s="30"/>
    </row>
    <row r="19" spans="1:14" x14ac:dyDescent="0.25">
      <c r="A19" s="41" t="s">
        <v>84</v>
      </c>
      <c r="B19" s="105"/>
      <c r="C19" s="105"/>
      <c r="D19" s="191"/>
      <c r="E19" s="105"/>
      <c r="F19" s="320"/>
      <c r="G19" s="321"/>
      <c r="H19" s="321"/>
      <c r="I19" s="321"/>
      <c r="J19" s="321"/>
      <c r="K19" s="322"/>
      <c r="L19" s="30"/>
      <c r="M19" s="30"/>
      <c r="N19" s="30"/>
    </row>
    <row r="20" spans="1:14" x14ac:dyDescent="0.25">
      <c r="A20" s="41" t="s">
        <v>85</v>
      </c>
      <c r="B20" s="105"/>
      <c r="C20" s="105"/>
      <c r="D20" s="191"/>
      <c r="E20" s="105"/>
      <c r="F20" s="320"/>
      <c r="G20" s="321"/>
      <c r="H20" s="321"/>
      <c r="I20" s="321"/>
      <c r="J20" s="321"/>
      <c r="K20" s="322"/>
      <c r="L20" s="30"/>
      <c r="M20" s="30"/>
      <c r="N20" s="30"/>
    </row>
    <row r="21" spans="1:14" x14ac:dyDescent="0.25">
      <c r="A21" s="41" t="s">
        <v>86</v>
      </c>
      <c r="B21" s="105"/>
      <c r="C21" s="105"/>
      <c r="D21" s="191"/>
      <c r="E21" s="105"/>
      <c r="F21" s="320"/>
      <c r="G21" s="321"/>
      <c r="H21" s="321"/>
      <c r="I21" s="321"/>
      <c r="J21" s="321"/>
      <c r="K21" s="322"/>
      <c r="L21" s="30"/>
      <c r="M21" s="30"/>
      <c r="N21" s="30"/>
    </row>
    <row r="22" spans="1:14" x14ac:dyDescent="0.25">
      <c r="A22" s="42" t="s">
        <v>87</v>
      </c>
      <c r="B22" s="187"/>
      <c r="C22" s="187"/>
      <c r="D22" s="192"/>
      <c r="E22" s="187"/>
      <c r="F22" s="317"/>
      <c r="G22" s="318"/>
      <c r="H22" s="318"/>
      <c r="I22" s="318"/>
      <c r="J22" s="318"/>
      <c r="K22" s="319"/>
      <c r="L22" s="30"/>
      <c r="M22" s="30"/>
      <c r="N22" s="30"/>
    </row>
    <row r="23" spans="1:14" x14ac:dyDescent="0.25">
      <c r="B23" s="25"/>
      <c r="C23" s="29"/>
      <c r="D23" s="29"/>
      <c r="E23" s="29"/>
      <c r="F23" s="29"/>
      <c r="G23" s="29"/>
      <c r="H23" s="30"/>
      <c r="I23" s="30"/>
      <c r="J23" s="30"/>
      <c r="K23" s="30"/>
      <c r="L23" s="30"/>
      <c r="M23" s="30"/>
      <c r="N23" s="30"/>
    </row>
    <row r="24" spans="1:14" x14ac:dyDescent="0.25">
      <c r="B24" s="25"/>
      <c r="C24" s="29"/>
      <c r="D24" s="29"/>
      <c r="E24" s="29"/>
      <c r="F24" s="29"/>
      <c r="G24" s="29"/>
      <c r="H24" s="30"/>
      <c r="I24" s="30"/>
      <c r="J24" s="30"/>
      <c r="K24" s="30"/>
      <c r="L24" s="30"/>
      <c r="M24" s="30"/>
      <c r="N24" s="30"/>
    </row>
    <row r="25" spans="1:14" ht="19.5" x14ac:dyDescent="0.3">
      <c r="A25" s="35" t="s">
        <v>126</v>
      </c>
    </row>
    <row r="26" spans="1:14" x14ac:dyDescent="0.25">
      <c r="A26" s="31"/>
      <c r="B26" s="306" t="str">
        <f>A25&amp;" by Quarter (years 1 and 2)"</f>
        <v>Income from Equity Fundraising by Quarter (years 1 and 2)</v>
      </c>
      <c r="C26" s="307"/>
      <c r="D26" s="307"/>
      <c r="E26" s="307"/>
      <c r="F26" s="307"/>
      <c r="G26" s="307"/>
      <c r="H26" s="307"/>
      <c r="I26" s="308"/>
      <c r="J26" s="281"/>
      <c r="K26" s="309" t="str">
        <f>"Annual "&amp;A25&amp;" (years 3 to 6)"</f>
        <v>Annual Income from Equity Fundraising (years 3 to 6)</v>
      </c>
      <c r="L26" s="310"/>
      <c r="M26" s="310"/>
      <c r="N26" s="311"/>
    </row>
    <row r="27" spans="1:14" x14ac:dyDescent="0.25">
      <c r="A27" s="31"/>
      <c r="B27" s="312" t="s">
        <v>193</v>
      </c>
      <c r="C27" s="313"/>
      <c r="D27" s="313"/>
      <c r="E27" s="314"/>
      <c r="F27" s="315" t="s">
        <v>194</v>
      </c>
      <c r="G27" s="313"/>
      <c r="H27" s="313"/>
      <c r="I27" s="316"/>
      <c r="J27" s="281"/>
      <c r="K27" s="97" t="s">
        <v>135</v>
      </c>
      <c r="L27" s="98" t="s">
        <v>136</v>
      </c>
      <c r="M27" s="98" t="s">
        <v>137</v>
      </c>
      <c r="N27" s="99" t="s">
        <v>225</v>
      </c>
    </row>
    <row r="28" spans="1:14" s="53" customFormat="1" x14ac:dyDescent="0.25">
      <c r="A28" s="51"/>
      <c r="B28" s="93">
        <f>StartDate</f>
        <v>43831</v>
      </c>
      <c r="C28" s="52">
        <f>EDATE(B28,3)</f>
        <v>43922</v>
      </c>
      <c r="D28" s="52">
        <f t="shared" ref="D28:I28" si="0">EDATE(C28,3)</f>
        <v>44013</v>
      </c>
      <c r="E28" s="52">
        <f t="shared" si="0"/>
        <v>44105</v>
      </c>
      <c r="F28" s="52">
        <f t="shared" si="0"/>
        <v>44197</v>
      </c>
      <c r="G28" s="52">
        <f t="shared" si="0"/>
        <v>44287</v>
      </c>
      <c r="H28" s="52">
        <f t="shared" si="0"/>
        <v>44378</v>
      </c>
      <c r="I28" s="89">
        <f t="shared" si="0"/>
        <v>44470</v>
      </c>
      <c r="J28" s="281"/>
      <c r="K28" s="93">
        <f>EDATE(I28,3)</f>
        <v>44562</v>
      </c>
      <c r="L28" s="52">
        <f t="shared" ref="L28:N28" si="1">EDATE(K28,12)</f>
        <v>44927</v>
      </c>
      <c r="M28" s="52">
        <f t="shared" si="1"/>
        <v>45292</v>
      </c>
      <c r="N28" s="96">
        <f t="shared" si="1"/>
        <v>45658</v>
      </c>
    </row>
    <row r="29" spans="1:14" x14ac:dyDescent="0.25">
      <c r="A29" s="36" t="str">
        <f t="shared" ref="A29:A36" si="2">A6</f>
        <v>Round 1</v>
      </c>
      <c r="B29" s="129">
        <f t="shared" ref="B29:B36" si="3">IF(B$28=$C6,$B6,IF($C6&lt;C$28,$B6,0))</f>
        <v>500000</v>
      </c>
      <c r="C29" s="43">
        <f t="shared" ref="C29:N29" si="4">IF(C$28=$C6,$B6,IF($C6&gt;C$28,IF($C6&lt;D$28,$B6,0),0))</f>
        <v>0</v>
      </c>
      <c r="D29" s="43">
        <f t="shared" si="4"/>
        <v>0</v>
      </c>
      <c r="E29" s="43">
        <f t="shared" si="4"/>
        <v>0</v>
      </c>
      <c r="F29" s="43">
        <f t="shared" si="4"/>
        <v>0</v>
      </c>
      <c r="G29" s="43">
        <f t="shared" si="4"/>
        <v>0</v>
      </c>
      <c r="H29" s="43">
        <f t="shared" si="4"/>
        <v>0</v>
      </c>
      <c r="I29" s="130">
        <f t="shared" ref="I29:I36" si="5">IF(I$28=$C6,$B6,IF($C6&gt;I$28,IF($C6&lt;K$28,$B6,0),0))</f>
        <v>0</v>
      </c>
      <c r="J29" s="281"/>
      <c r="K29" s="129">
        <f t="shared" si="4"/>
        <v>0</v>
      </c>
      <c r="L29" s="43">
        <f t="shared" si="4"/>
        <v>0</v>
      </c>
      <c r="M29" s="43">
        <f t="shared" si="4"/>
        <v>0</v>
      </c>
      <c r="N29" s="130">
        <f t="shared" si="4"/>
        <v>0</v>
      </c>
    </row>
    <row r="30" spans="1:14" x14ac:dyDescent="0.25">
      <c r="A30" s="36" t="str">
        <f t="shared" si="2"/>
        <v>Round 2</v>
      </c>
      <c r="B30" s="129">
        <f t="shared" si="3"/>
        <v>0</v>
      </c>
      <c r="C30" s="43">
        <f t="shared" ref="C30:N30" si="6">IF(C$28=$C7,$B7,IF($C7&gt;C$28,IF($C7&lt;D$28,$B7,0),0))</f>
        <v>2000000</v>
      </c>
      <c r="D30" s="43">
        <f t="shared" si="6"/>
        <v>0</v>
      </c>
      <c r="E30" s="43">
        <f t="shared" si="6"/>
        <v>0</v>
      </c>
      <c r="F30" s="43">
        <f t="shared" si="6"/>
        <v>0</v>
      </c>
      <c r="G30" s="43">
        <f t="shared" si="6"/>
        <v>0</v>
      </c>
      <c r="H30" s="43">
        <f t="shared" si="6"/>
        <v>0</v>
      </c>
      <c r="I30" s="130">
        <f t="shared" si="5"/>
        <v>0</v>
      </c>
      <c r="J30" s="281"/>
      <c r="K30" s="129">
        <f t="shared" si="6"/>
        <v>0</v>
      </c>
      <c r="L30" s="43">
        <f t="shared" si="6"/>
        <v>0</v>
      </c>
      <c r="M30" s="43">
        <f t="shared" si="6"/>
        <v>0</v>
      </c>
      <c r="N30" s="130">
        <f t="shared" si="6"/>
        <v>0</v>
      </c>
    </row>
    <row r="31" spans="1:14" x14ac:dyDescent="0.25">
      <c r="A31" s="36" t="str">
        <f t="shared" si="2"/>
        <v>Round 3</v>
      </c>
      <c r="B31" s="129">
        <f t="shared" si="3"/>
        <v>0</v>
      </c>
      <c r="C31" s="43">
        <f t="shared" ref="C31:N31" si="7">IF(C$28=$C8,$B8,IF($C8&gt;C$28,IF($C8&lt;D$28,$B8,0),0))</f>
        <v>0</v>
      </c>
      <c r="D31" s="43">
        <f t="shared" si="7"/>
        <v>0</v>
      </c>
      <c r="E31" s="43">
        <f t="shared" si="7"/>
        <v>0</v>
      </c>
      <c r="F31" s="43">
        <f t="shared" si="7"/>
        <v>0</v>
      </c>
      <c r="G31" s="43">
        <f t="shared" si="7"/>
        <v>0</v>
      </c>
      <c r="H31" s="43">
        <f t="shared" si="7"/>
        <v>0</v>
      </c>
      <c r="I31" s="130">
        <f t="shared" si="5"/>
        <v>0</v>
      </c>
      <c r="J31" s="281"/>
      <c r="K31" s="129">
        <f t="shared" si="7"/>
        <v>0</v>
      </c>
      <c r="L31" s="43">
        <f t="shared" si="7"/>
        <v>500000</v>
      </c>
      <c r="M31" s="43">
        <f t="shared" si="7"/>
        <v>0</v>
      </c>
      <c r="N31" s="130">
        <f t="shared" si="7"/>
        <v>0</v>
      </c>
    </row>
    <row r="32" spans="1:14" x14ac:dyDescent="0.25">
      <c r="A32" s="36" t="str">
        <f t="shared" si="2"/>
        <v>Round 4</v>
      </c>
      <c r="B32" s="129">
        <f t="shared" si="3"/>
        <v>0</v>
      </c>
      <c r="C32" s="43">
        <f t="shared" ref="C32:N32" si="8">IF(C$28=$C9,$B9,IF($C9&gt;C$28,IF($C9&lt;D$28,$B9,0),0))</f>
        <v>0</v>
      </c>
      <c r="D32" s="43">
        <f t="shared" si="8"/>
        <v>0</v>
      </c>
      <c r="E32" s="43">
        <f t="shared" si="8"/>
        <v>0</v>
      </c>
      <c r="F32" s="43">
        <f t="shared" si="8"/>
        <v>0</v>
      </c>
      <c r="G32" s="43">
        <f t="shared" si="8"/>
        <v>0</v>
      </c>
      <c r="H32" s="43">
        <f t="shared" si="8"/>
        <v>0</v>
      </c>
      <c r="I32" s="130">
        <f t="shared" si="5"/>
        <v>0</v>
      </c>
      <c r="J32" s="281"/>
      <c r="K32" s="129">
        <f t="shared" si="8"/>
        <v>0</v>
      </c>
      <c r="L32" s="43">
        <f t="shared" si="8"/>
        <v>0</v>
      </c>
      <c r="M32" s="43">
        <f t="shared" si="8"/>
        <v>0</v>
      </c>
      <c r="N32" s="130">
        <f t="shared" si="8"/>
        <v>0</v>
      </c>
    </row>
    <row r="33" spans="1:14" x14ac:dyDescent="0.25">
      <c r="A33" s="36" t="str">
        <f t="shared" si="2"/>
        <v>Round 5</v>
      </c>
      <c r="B33" s="129">
        <f t="shared" si="3"/>
        <v>0</v>
      </c>
      <c r="C33" s="43">
        <f t="shared" ref="C33:N33" si="9">IF(C$28=$C10,$B10,IF($C10&gt;C$28,IF($C10&lt;D$28,$B10,0),0))</f>
        <v>0</v>
      </c>
      <c r="D33" s="43">
        <f t="shared" si="9"/>
        <v>0</v>
      </c>
      <c r="E33" s="43">
        <f t="shared" si="9"/>
        <v>0</v>
      </c>
      <c r="F33" s="43">
        <f t="shared" si="9"/>
        <v>0</v>
      </c>
      <c r="G33" s="43">
        <f t="shared" si="9"/>
        <v>0</v>
      </c>
      <c r="H33" s="43">
        <f t="shared" si="9"/>
        <v>0</v>
      </c>
      <c r="I33" s="130">
        <f t="shared" si="5"/>
        <v>0</v>
      </c>
      <c r="J33" s="281"/>
      <c r="K33" s="129">
        <f t="shared" si="9"/>
        <v>0</v>
      </c>
      <c r="L33" s="43">
        <f t="shared" si="9"/>
        <v>0</v>
      </c>
      <c r="M33" s="43">
        <f t="shared" si="9"/>
        <v>0</v>
      </c>
      <c r="N33" s="130">
        <f t="shared" si="9"/>
        <v>0</v>
      </c>
    </row>
    <row r="34" spans="1:14" x14ac:dyDescent="0.25">
      <c r="A34" s="36" t="str">
        <f t="shared" si="2"/>
        <v>Round 6</v>
      </c>
      <c r="B34" s="129">
        <f t="shared" si="3"/>
        <v>0</v>
      </c>
      <c r="C34" s="43">
        <f t="shared" ref="C34:N34" si="10">IF(C$28=$C11,$B11,IF($C11&gt;C$28,IF($C11&lt;D$28,$B11,0),0))</f>
        <v>0</v>
      </c>
      <c r="D34" s="43">
        <f t="shared" si="10"/>
        <v>0</v>
      </c>
      <c r="E34" s="43">
        <f t="shared" si="10"/>
        <v>0</v>
      </c>
      <c r="F34" s="43">
        <f t="shared" si="10"/>
        <v>0</v>
      </c>
      <c r="G34" s="43">
        <f t="shared" si="10"/>
        <v>0</v>
      </c>
      <c r="H34" s="43">
        <f t="shared" si="10"/>
        <v>0</v>
      </c>
      <c r="I34" s="130">
        <f t="shared" si="5"/>
        <v>0</v>
      </c>
      <c r="J34" s="281"/>
      <c r="K34" s="129">
        <f t="shared" si="10"/>
        <v>0</v>
      </c>
      <c r="L34" s="43">
        <f t="shared" si="10"/>
        <v>0</v>
      </c>
      <c r="M34" s="43">
        <f t="shared" si="10"/>
        <v>0</v>
      </c>
      <c r="N34" s="130">
        <f t="shared" si="10"/>
        <v>0</v>
      </c>
    </row>
    <row r="35" spans="1:14" x14ac:dyDescent="0.25">
      <c r="A35" s="36" t="str">
        <f t="shared" si="2"/>
        <v>Round 7</v>
      </c>
      <c r="B35" s="129">
        <f t="shared" si="3"/>
        <v>0</v>
      </c>
      <c r="C35" s="43">
        <f t="shared" ref="C35:N35" si="11">IF(C$28=$C12,$B12,IF($C12&gt;C$28,IF($C12&lt;D$28,$B12,0),0))</f>
        <v>0</v>
      </c>
      <c r="D35" s="43">
        <f t="shared" si="11"/>
        <v>0</v>
      </c>
      <c r="E35" s="43">
        <f t="shared" si="11"/>
        <v>0</v>
      </c>
      <c r="F35" s="43">
        <f t="shared" si="11"/>
        <v>0</v>
      </c>
      <c r="G35" s="43">
        <f t="shared" si="11"/>
        <v>0</v>
      </c>
      <c r="H35" s="43">
        <f t="shared" si="11"/>
        <v>0</v>
      </c>
      <c r="I35" s="130">
        <f t="shared" si="5"/>
        <v>0</v>
      </c>
      <c r="J35" s="281"/>
      <c r="K35" s="129">
        <f t="shared" si="11"/>
        <v>0</v>
      </c>
      <c r="L35" s="43">
        <f t="shared" si="11"/>
        <v>0</v>
      </c>
      <c r="M35" s="43">
        <f t="shared" si="11"/>
        <v>0</v>
      </c>
      <c r="N35" s="130">
        <f t="shared" si="11"/>
        <v>0</v>
      </c>
    </row>
    <row r="36" spans="1:14" ht="15.75" thickBot="1" x14ac:dyDescent="0.3">
      <c r="A36" s="36" t="str">
        <f t="shared" si="2"/>
        <v>Investor 8</v>
      </c>
      <c r="B36" s="129">
        <f t="shared" si="3"/>
        <v>0</v>
      </c>
      <c r="C36" s="43">
        <f t="shared" ref="C36:N36" si="12">IF(C$28=$C13,$B13,IF($C13&gt;C$28,IF($C13&lt;D$28,$B13,0),0))</f>
        <v>0</v>
      </c>
      <c r="D36" s="43">
        <f t="shared" si="12"/>
        <v>0</v>
      </c>
      <c r="E36" s="43">
        <f t="shared" si="12"/>
        <v>0</v>
      </c>
      <c r="F36" s="43">
        <f t="shared" si="12"/>
        <v>0</v>
      </c>
      <c r="G36" s="43">
        <f t="shared" si="12"/>
        <v>0</v>
      </c>
      <c r="H36" s="43">
        <f t="shared" si="12"/>
        <v>0</v>
      </c>
      <c r="I36" s="130">
        <f t="shared" si="5"/>
        <v>0</v>
      </c>
      <c r="J36" s="281"/>
      <c r="K36" s="129">
        <f t="shared" si="12"/>
        <v>0</v>
      </c>
      <c r="L36" s="43">
        <f t="shared" si="12"/>
        <v>0</v>
      </c>
      <c r="M36" s="43">
        <f t="shared" si="12"/>
        <v>0</v>
      </c>
      <c r="N36" s="130">
        <f t="shared" si="12"/>
        <v>0</v>
      </c>
    </row>
    <row r="37" spans="1:14" ht="15.75" thickTop="1" x14ac:dyDescent="0.25">
      <c r="A37" s="73" t="s">
        <v>15</v>
      </c>
      <c r="B37" s="118">
        <f>SUM(B29:B36)</f>
        <v>500000</v>
      </c>
      <c r="C37" s="74">
        <f t="shared" ref="C37:N37" si="13">SUM(C29:C36)</f>
        <v>2000000</v>
      </c>
      <c r="D37" s="74">
        <f t="shared" si="13"/>
        <v>0</v>
      </c>
      <c r="E37" s="74">
        <f t="shared" si="13"/>
        <v>0</v>
      </c>
      <c r="F37" s="74">
        <f t="shared" si="13"/>
        <v>0</v>
      </c>
      <c r="G37" s="74">
        <f t="shared" si="13"/>
        <v>0</v>
      </c>
      <c r="H37" s="74">
        <f t="shared" si="13"/>
        <v>0</v>
      </c>
      <c r="I37" s="119">
        <f t="shared" si="13"/>
        <v>0</v>
      </c>
      <c r="J37" s="281"/>
      <c r="K37" s="118">
        <f t="shared" si="13"/>
        <v>0</v>
      </c>
      <c r="L37" s="74">
        <f t="shared" si="13"/>
        <v>500000</v>
      </c>
      <c r="M37" s="74">
        <f t="shared" si="13"/>
        <v>0</v>
      </c>
      <c r="N37" s="119">
        <f t="shared" si="13"/>
        <v>0</v>
      </c>
    </row>
    <row r="38" spans="1:14" x14ac:dyDescent="0.25">
      <c r="A38" s="36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1:14" x14ac:dyDescent="0.25">
      <c r="A39" s="36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1:14" ht="19.5" x14ac:dyDescent="0.3">
      <c r="A40" s="35" t="s">
        <v>111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1" spans="1:14" x14ac:dyDescent="0.25">
      <c r="A41" s="31"/>
      <c r="B41" s="306" t="str">
        <f>A40&amp;" by Quarter (years 1 and 2)"</f>
        <v>Change in Debt by Quarter (years 1 and 2)</v>
      </c>
      <c r="C41" s="307"/>
      <c r="D41" s="307"/>
      <c r="E41" s="307"/>
      <c r="F41" s="307"/>
      <c r="G41" s="307"/>
      <c r="H41" s="307"/>
      <c r="I41" s="308"/>
      <c r="J41" s="281"/>
      <c r="K41" s="309" t="str">
        <f>"Annual "&amp;A40&amp;" (years 3 to 6)"</f>
        <v>Annual Change in Debt (years 3 to 6)</v>
      </c>
      <c r="L41" s="310"/>
      <c r="M41" s="310"/>
      <c r="N41" s="311"/>
    </row>
    <row r="42" spans="1:14" x14ac:dyDescent="0.25">
      <c r="A42" s="31"/>
      <c r="B42" s="312" t="s">
        <v>193</v>
      </c>
      <c r="C42" s="313"/>
      <c r="D42" s="313"/>
      <c r="E42" s="314"/>
      <c r="F42" s="315" t="s">
        <v>194</v>
      </c>
      <c r="G42" s="313"/>
      <c r="H42" s="313"/>
      <c r="I42" s="316"/>
      <c r="J42" s="281"/>
      <c r="K42" s="97" t="s">
        <v>135</v>
      </c>
      <c r="L42" s="98" t="s">
        <v>136</v>
      </c>
      <c r="M42" s="98" t="s">
        <v>137</v>
      </c>
      <c r="N42" s="99" t="s">
        <v>225</v>
      </c>
    </row>
    <row r="43" spans="1:14" x14ac:dyDescent="0.25">
      <c r="A43" s="51"/>
      <c r="B43" s="93">
        <f>StartDate</f>
        <v>43831</v>
      </c>
      <c r="C43" s="52">
        <f>EDATE(B43,3)</f>
        <v>43922</v>
      </c>
      <c r="D43" s="52">
        <f t="shared" ref="D43:I43" si="14">EDATE(C43,3)</f>
        <v>44013</v>
      </c>
      <c r="E43" s="52">
        <f t="shared" si="14"/>
        <v>44105</v>
      </c>
      <c r="F43" s="52">
        <f t="shared" si="14"/>
        <v>44197</v>
      </c>
      <c r="G43" s="52">
        <f t="shared" si="14"/>
        <v>44287</v>
      </c>
      <c r="H43" s="52">
        <f t="shared" si="14"/>
        <v>44378</v>
      </c>
      <c r="I43" s="89">
        <f t="shared" si="14"/>
        <v>44470</v>
      </c>
      <c r="J43" s="281"/>
      <c r="K43" s="93">
        <f>EDATE(I43,3)</f>
        <v>44562</v>
      </c>
      <c r="L43" s="52">
        <f t="shared" ref="L43:N43" si="15">EDATE(K43,12)</f>
        <v>44927</v>
      </c>
      <c r="M43" s="52">
        <f t="shared" si="15"/>
        <v>45292</v>
      </c>
      <c r="N43" s="96">
        <f t="shared" si="15"/>
        <v>45658</v>
      </c>
    </row>
    <row r="44" spans="1:14" x14ac:dyDescent="0.25">
      <c r="A44" s="36" t="str">
        <f>A18</f>
        <v>Loan 1</v>
      </c>
      <c r="B44" s="174">
        <f>IF(B$43=$D18,$B18,IF($D18&lt;C$43,$B18,0))</f>
        <v>0</v>
      </c>
      <c r="C44" s="75">
        <f>IF(C$43=$D18,$B18,IF(C$43=EDATE($D18,12*$E18),$B18*-1,IF($D18&gt;C$43,IF($D18&lt;D$43,$B18,0),IF(EDATE($D18,12*$E18)&gt;D$43,0,IF(EDATE($D18,12*$E18)&gt;C$43,IF(EDATE($D18,12*$E18)&lt;D$43,$B18*-1,0),0)))))</f>
        <v>0</v>
      </c>
      <c r="D44" s="75">
        <f t="shared" ref="D44:N44" si="16">IF(D$43=$D18,$B18,IF(D$43=EDATE($D18,12*$E18),$B18*-1,IF($D18&gt;D$43,IF($D18&lt;E$43,$B18,0),IF(EDATE($D18,12*$E18)&gt;E$43,0,IF(EDATE($D18,12*$E18)&gt;D$43,IF(EDATE($D18,12*$E18)&lt;E$43,$B18*-1,0),0)))))</f>
        <v>0</v>
      </c>
      <c r="E44" s="75">
        <f t="shared" si="16"/>
        <v>0</v>
      </c>
      <c r="F44" s="75">
        <f t="shared" si="16"/>
        <v>0</v>
      </c>
      <c r="G44" s="75">
        <f t="shared" si="16"/>
        <v>0</v>
      </c>
      <c r="H44" s="75">
        <f t="shared" si="16"/>
        <v>0</v>
      </c>
      <c r="I44" s="175">
        <f>IF(I$43=$D18,$B18,IF(I$43=EDATE($D18,12*$E18),$B18*-1,IF($D18&gt;I$43,IF($D18&lt;K$43,$B18,0),IF(EDATE($D18,12*$E18)&gt;K$43,0,IF(EDATE($D18,12*$E18)&gt;I$43,IF(EDATE($D18,12*$E18)&lt;K$43,$B18*-1,0),0)))))</f>
        <v>0</v>
      </c>
      <c r="J44" s="281"/>
      <c r="K44" s="174">
        <f t="shared" si="16"/>
        <v>0</v>
      </c>
      <c r="L44" s="75">
        <f t="shared" si="16"/>
        <v>0</v>
      </c>
      <c r="M44" s="75">
        <f t="shared" si="16"/>
        <v>0</v>
      </c>
      <c r="N44" s="175">
        <f t="shared" si="16"/>
        <v>0</v>
      </c>
    </row>
    <row r="45" spans="1:14" x14ac:dyDescent="0.25">
      <c r="A45" s="36" t="str">
        <f>A19</f>
        <v>Loan 2</v>
      </c>
      <c r="B45" s="174">
        <f>IF(B$43=$D19,$B19,IF($D19&lt;C$43,$B19,0))</f>
        <v>0</v>
      </c>
      <c r="C45" s="75">
        <f t="shared" ref="C45:N45" si="17">IF(C$43=$D19,$B19,IF(C$43=EDATE($D19,12*$E19),$B19*-1,IF($D19&gt;C$43,IF($D19&lt;D$43,$B19,0),IF(EDATE($D19,12*$E19)&gt;D$43,0,IF(EDATE($D19,12*$E19)&gt;C$43,IF(EDATE($D19,12*$E19)&lt;D$43,$B19*-1,0),0)))))</f>
        <v>0</v>
      </c>
      <c r="D45" s="75">
        <f t="shared" si="17"/>
        <v>0</v>
      </c>
      <c r="E45" s="75">
        <f t="shared" si="17"/>
        <v>0</v>
      </c>
      <c r="F45" s="75">
        <f t="shared" si="17"/>
        <v>0</v>
      </c>
      <c r="G45" s="75">
        <f t="shared" si="17"/>
        <v>0</v>
      </c>
      <c r="H45" s="75">
        <f t="shared" si="17"/>
        <v>0</v>
      </c>
      <c r="I45" s="175">
        <f>IF(I$43=$D19,$B19,IF(I$43=EDATE($D19,12*$E19),$B19*-1,IF($D19&gt;I$43,IF($D19&lt;K$43,$B19,0),IF(EDATE($D19,12*$E19)&gt;K$43,0,IF(EDATE($D19,12*$E19)&gt;I$43,IF(EDATE($D19,12*$E19)&lt;K$43,$B19*-1,0),0)))))</f>
        <v>0</v>
      </c>
      <c r="J45" s="281"/>
      <c r="K45" s="174">
        <f t="shared" si="17"/>
        <v>0</v>
      </c>
      <c r="L45" s="75">
        <f t="shared" si="17"/>
        <v>0</v>
      </c>
      <c r="M45" s="75">
        <f t="shared" si="17"/>
        <v>0</v>
      </c>
      <c r="N45" s="175">
        <f t="shared" si="17"/>
        <v>0</v>
      </c>
    </row>
    <row r="46" spans="1:14" x14ac:dyDescent="0.25">
      <c r="A46" s="36" t="str">
        <f>A20</f>
        <v>Loan 3</v>
      </c>
      <c r="B46" s="174">
        <f>IF(B$43=$D20,$B20,IF($D20&lt;C$43,$B20,0))</f>
        <v>0</v>
      </c>
      <c r="C46" s="75">
        <f t="shared" ref="C46:N46" si="18">IF(C$43=$D20,$B20,IF(C$43=EDATE($D20,12*$E20),$B20*-1,IF($D20&gt;C$43,IF($D20&lt;D$43,$B20,0),IF(EDATE($D20,12*$E20)&gt;D$43,0,IF(EDATE($D20,12*$E20)&gt;C$43,IF(EDATE($D20,12*$E20)&lt;D$43,$B20*-1,0),0)))))</f>
        <v>0</v>
      </c>
      <c r="D46" s="75">
        <f t="shared" si="18"/>
        <v>0</v>
      </c>
      <c r="E46" s="75">
        <f t="shared" si="18"/>
        <v>0</v>
      </c>
      <c r="F46" s="75">
        <f t="shared" si="18"/>
        <v>0</v>
      </c>
      <c r="G46" s="75">
        <f t="shared" si="18"/>
        <v>0</v>
      </c>
      <c r="H46" s="75">
        <f t="shared" si="18"/>
        <v>0</v>
      </c>
      <c r="I46" s="175">
        <f>IF(I$43=$D20,$B20,IF(I$43=EDATE($D20,12*$E20),$B20*-1,IF($D20&gt;I$43,IF($D20&lt;K$43,$B20,0),IF(EDATE($D20,12*$E20)&gt;K$43,0,IF(EDATE($D20,12*$E20)&gt;I$43,IF(EDATE($D20,12*$E20)&lt;K$43,$B20*-1,0),0)))))</f>
        <v>0</v>
      </c>
      <c r="J46" s="281"/>
      <c r="K46" s="174">
        <f t="shared" si="18"/>
        <v>0</v>
      </c>
      <c r="L46" s="75">
        <f t="shared" si="18"/>
        <v>0</v>
      </c>
      <c r="M46" s="75">
        <f t="shared" si="18"/>
        <v>0</v>
      </c>
      <c r="N46" s="175">
        <f t="shared" si="18"/>
        <v>0</v>
      </c>
    </row>
    <row r="47" spans="1:14" x14ac:dyDescent="0.25">
      <c r="A47" s="36" t="str">
        <f>A21</f>
        <v>Loan 4</v>
      </c>
      <c r="B47" s="174">
        <f>IF(B$43=$D21,$B21,IF($D21&lt;C$43,$B21,0))</f>
        <v>0</v>
      </c>
      <c r="C47" s="75">
        <f t="shared" ref="C47:N47" si="19">IF(C$43=$D21,$B21,IF(C$43=EDATE($D21,12*$E21),$B21*-1,IF($D21&gt;C$43,IF($D21&lt;D$43,$B21,0),IF(EDATE($D21,12*$E21)&gt;D$43,0,IF(EDATE($D21,12*$E21)&gt;C$43,IF(EDATE($D21,12*$E21)&lt;D$43,$B21*-1,0),0)))))</f>
        <v>0</v>
      </c>
      <c r="D47" s="75">
        <f t="shared" si="19"/>
        <v>0</v>
      </c>
      <c r="E47" s="75">
        <f t="shared" si="19"/>
        <v>0</v>
      </c>
      <c r="F47" s="75">
        <f t="shared" si="19"/>
        <v>0</v>
      </c>
      <c r="G47" s="75">
        <f t="shared" si="19"/>
        <v>0</v>
      </c>
      <c r="H47" s="75">
        <f t="shared" si="19"/>
        <v>0</v>
      </c>
      <c r="I47" s="175">
        <f>IF(I$43=$D21,$B21,IF(I$43=EDATE($D21,12*$E21),$B21*-1,IF($D21&gt;I$43,IF($D21&lt;K$43,$B21,0),IF(EDATE($D21,12*$E21)&gt;K$43,0,IF(EDATE($D21,12*$E21)&gt;I$43,IF(EDATE($D21,12*$E21)&lt;K$43,$B21*-1,0),0)))))</f>
        <v>0</v>
      </c>
      <c r="J47" s="281"/>
      <c r="K47" s="174">
        <f t="shared" si="19"/>
        <v>0</v>
      </c>
      <c r="L47" s="75">
        <f t="shared" si="19"/>
        <v>0</v>
      </c>
      <c r="M47" s="75">
        <f t="shared" si="19"/>
        <v>0</v>
      </c>
      <c r="N47" s="175">
        <f t="shared" si="19"/>
        <v>0</v>
      </c>
    </row>
    <row r="48" spans="1:14" ht="15.75" thickBot="1" x14ac:dyDescent="0.3">
      <c r="A48" s="36" t="str">
        <f>A22</f>
        <v>Loan 5</v>
      </c>
      <c r="B48" s="174">
        <f>IF(B$43=$D22,$B22,IF($D22&lt;C$43,$B22,0))</f>
        <v>0</v>
      </c>
      <c r="C48" s="75">
        <f t="shared" ref="C48:N48" si="20">IF(C$43=$D22,$B22,IF(C$43=EDATE($D22,12*$E22),$B22*-1,IF($D22&gt;C$43,IF($D22&lt;D$43,$B22,0),IF(EDATE($D22,12*$E22)&gt;D$43,0,IF(EDATE($D22,12*$E22)&gt;C$43,IF(EDATE($D22,12*$E22)&lt;D$43,$B22*-1,0),0)))))</f>
        <v>0</v>
      </c>
      <c r="D48" s="75">
        <f t="shared" si="20"/>
        <v>0</v>
      </c>
      <c r="E48" s="75">
        <f t="shared" si="20"/>
        <v>0</v>
      </c>
      <c r="F48" s="75">
        <f t="shared" si="20"/>
        <v>0</v>
      </c>
      <c r="G48" s="75">
        <f t="shared" si="20"/>
        <v>0</v>
      </c>
      <c r="H48" s="75">
        <f t="shared" si="20"/>
        <v>0</v>
      </c>
      <c r="I48" s="175">
        <f>IF(I$43=$D22,$B22,IF(I$43=EDATE($D22,12*$E22),$B22*-1,IF($D22&gt;I$43,IF($D22&lt;K$43,$B22,0),IF(EDATE($D22,12*$E22)&gt;K$43,0,IF(EDATE($D22,12*$E22)&gt;I$43,IF(EDATE($D22,12*$E22)&lt;K$43,$B22*-1,0),0)))))</f>
        <v>0</v>
      </c>
      <c r="J48" s="281"/>
      <c r="K48" s="174">
        <f t="shared" si="20"/>
        <v>0</v>
      </c>
      <c r="L48" s="75">
        <f t="shared" si="20"/>
        <v>0</v>
      </c>
      <c r="M48" s="75">
        <f t="shared" si="20"/>
        <v>0</v>
      </c>
      <c r="N48" s="175">
        <f t="shared" si="20"/>
        <v>0</v>
      </c>
    </row>
    <row r="49" spans="1:14" ht="15.75" thickTop="1" x14ac:dyDescent="0.25">
      <c r="A49" s="76" t="s">
        <v>15</v>
      </c>
      <c r="B49" s="193">
        <f>SUM(B44:B48)</f>
        <v>0</v>
      </c>
      <c r="C49" s="77">
        <f t="shared" ref="C49:N49" si="21">SUM(C44:C48)</f>
        <v>0</v>
      </c>
      <c r="D49" s="77">
        <f t="shared" si="21"/>
        <v>0</v>
      </c>
      <c r="E49" s="77">
        <f t="shared" si="21"/>
        <v>0</v>
      </c>
      <c r="F49" s="77">
        <f t="shared" si="21"/>
        <v>0</v>
      </c>
      <c r="G49" s="77">
        <f t="shared" si="21"/>
        <v>0</v>
      </c>
      <c r="H49" s="77">
        <f t="shared" si="21"/>
        <v>0</v>
      </c>
      <c r="I49" s="194">
        <f t="shared" si="21"/>
        <v>0</v>
      </c>
      <c r="J49" s="281"/>
      <c r="K49" s="193">
        <f t="shared" si="21"/>
        <v>0</v>
      </c>
      <c r="L49" s="77">
        <f t="shared" si="21"/>
        <v>0</v>
      </c>
      <c r="M49" s="77">
        <f t="shared" si="21"/>
        <v>0</v>
      </c>
      <c r="N49" s="194">
        <f t="shared" si="21"/>
        <v>0</v>
      </c>
    </row>
    <row r="53" spans="1:14" ht="19.5" x14ac:dyDescent="0.3">
      <c r="A53" s="35" t="s">
        <v>110</v>
      </c>
    </row>
    <row r="54" spans="1:14" x14ac:dyDescent="0.25">
      <c r="A54" s="31"/>
      <c r="B54" s="306" t="str">
        <f>A53&amp;" by Quarter (years 1 and 2)"</f>
        <v>Interest Payments by Quarter (years 1 and 2)</v>
      </c>
      <c r="C54" s="307"/>
      <c r="D54" s="307"/>
      <c r="E54" s="307"/>
      <c r="F54" s="307"/>
      <c r="G54" s="307"/>
      <c r="H54" s="307"/>
      <c r="I54" s="308"/>
      <c r="J54" s="281"/>
      <c r="K54" s="309" t="str">
        <f>"Annual "&amp;A53&amp;" (years 3 to 6)"</f>
        <v>Annual Interest Payments (years 3 to 6)</v>
      </c>
      <c r="L54" s="310"/>
      <c r="M54" s="310"/>
      <c r="N54" s="311"/>
    </row>
    <row r="55" spans="1:14" x14ac:dyDescent="0.25">
      <c r="A55" s="31"/>
      <c r="B55" s="312" t="s">
        <v>193</v>
      </c>
      <c r="C55" s="313"/>
      <c r="D55" s="313"/>
      <c r="E55" s="314"/>
      <c r="F55" s="315" t="s">
        <v>194</v>
      </c>
      <c r="G55" s="313"/>
      <c r="H55" s="313"/>
      <c r="I55" s="316"/>
      <c r="J55" s="281"/>
      <c r="K55" s="97" t="s">
        <v>135</v>
      </c>
      <c r="L55" s="98" t="s">
        <v>136</v>
      </c>
      <c r="M55" s="98" t="s">
        <v>137</v>
      </c>
      <c r="N55" s="99" t="s">
        <v>225</v>
      </c>
    </row>
    <row r="56" spans="1:14" x14ac:dyDescent="0.25">
      <c r="A56" s="51"/>
      <c r="B56" s="93">
        <f>StartDate</f>
        <v>43831</v>
      </c>
      <c r="C56" s="52">
        <f>EDATE(B56,3)</f>
        <v>43922</v>
      </c>
      <c r="D56" s="52">
        <f t="shared" ref="D56:I56" si="22">EDATE(C56,3)</f>
        <v>44013</v>
      </c>
      <c r="E56" s="52">
        <f t="shared" si="22"/>
        <v>44105</v>
      </c>
      <c r="F56" s="52">
        <f t="shared" si="22"/>
        <v>44197</v>
      </c>
      <c r="G56" s="52">
        <f t="shared" si="22"/>
        <v>44287</v>
      </c>
      <c r="H56" s="52">
        <f t="shared" si="22"/>
        <v>44378</v>
      </c>
      <c r="I56" s="89">
        <f t="shared" si="22"/>
        <v>44470</v>
      </c>
      <c r="J56" s="281"/>
      <c r="K56" s="93">
        <f>EDATE(I56,3)</f>
        <v>44562</v>
      </c>
      <c r="L56" s="52">
        <f t="shared" ref="L56:N56" si="23">EDATE(K56,12)</f>
        <v>44927</v>
      </c>
      <c r="M56" s="52">
        <f t="shared" si="23"/>
        <v>45292</v>
      </c>
      <c r="N56" s="96">
        <f t="shared" si="23"/>
        <v>45658</v>
      </c>
    </row>
    <row r="57" spans="1:14" x14ac:dyDescent="0.25">
      <c r="A57" s="36" t="str">
        <f>A18</f>
        <v>Loan 1</v>
      </c>
      <c r="B57" s="140"/>
      <c r="C57" s="126"/>
      <c r="D57" s="126"/>
      <c r="E57" s="126"/>
      <c r="F57" s="126"/>
      <c r="G57" s="126"/>
      <c r="H57" s="126"/>
      <c r="I57" s="141"/>
      <c r="J57" s="281"/>
      <c r="K57" s="140"/>
      <c r="L57" s="126"/>
      <c r="M57" s="126"/>
      <c r="N57" s="141"/>
    </row>
    <row r="58" spans="1:14" x14ac:dyDescent="0.25">
      <c r="A58" s="36" t="str">
        <f>A19</f>
        <v>Loan 2</v>
      </c>
      <c r="B58" s="140"/>
      <c r="C58" s="126"/>
      <c r="D58" s="126"/>
      <c r="E58" s="126"/>
      <c r="F58" s="126"/>
      <c r="G58" s="126"/>
      <c r="H58" s="126"/>
      <c r="I58" s="141"/>
      <c r="J58" s="281"/>
      <c r="K58" s="140"/>
      <c r="L58" s="126"/>
      <c r="M58" s="126"/>
      <c r="N58" s="141"/>
    </row>
    <row r="59" spans="1:14" x14ac:dyDescent="0.25">
      <c r="A59" s="36" t="str">
        <f>A20</f>
        <v>Loan 3</v>
      </c>
      <c r="B59" s="140"/>
      <c r="C59" s="126"/>
      <c r="D59" s="126"/>
      <c r="E59" s="126"/>
      <c r="F59" s="126"/>
      <c r="G59" s="126"/>
      <c r="H59" s="126"/>
      <c r="I59" s="141"/>
      <c r="J59" s="281"/>
      <c r="K59" s="140"/>
      <c r="L59" s="126"/>
      <c r="M59" s="126"/>
      <c r="N59" s="141"/>
    </row>
    <row r="60" spans="1:14" x14ac:dyDescent="0.25">
      <c r="A60" s="36" t="str">
        <f>A21</f>
        <v>Loan 4</v>
      </c>
      <c r="B60" s="140"/>
      <c r="C60" s="126"/>
      <c r="D60" s="126"/>
      <c r="E60" s="126"/>
      <c r="F60" s="126"/>
      <c r="G60" s="126"/>
      <c r="H60" s="126"/>
      <c r="I60" s="141"/>
      <c r="J60" s="281"/>
      <c r="K60" s="140"/>
      <c r="L60" s="126"/>
      <c r="M60" s="126"/>
      <c r="N60" s="141"/>
    </row>
    <row r="61" spans="1:14" ht="15.75" thickBot="1" x14ac:dyDescent="0.3">
      <c r="A61" s="66" t="str">
        <f>A22</f>
        <v>Loan 5</v>
      </c>
      <c r="B61" s="142"/>
      <c r="C61" s="139"/>
      <c r="D61" s="139"/>
      <c r="E61" s="139"/>
      <c r="F61" s="139"/>
      <c r="G61" s="139"/>
      <c r="H61" s="139"/>
      <c r="I61" s="143"/>
      <c r="J61" s="281"/>
      <c r="K61" s="142"/>
      <c r="L61" s="139"/>
      <c r="M61" s="139"/>
      <c r="N61" s="143"/>
    </row>
    <row r="62" spans="1:14" ht="15.75" thickTop="1" x14ac:dyDescent="0.25">
      <c r="A62" s="38" t="s">
        <v>15</v>
      </c>
      <c r="B62" s="135">
        <f>SUM(B57:B61)</f>
        <v>0</v>
      </c>
      <c r="C62" s="45">
        <f t="shared" ref="C62:N62" si="24">SUM(C57:C61)</f>
        <v>0</v>
      </c>
      <c r="D62" s="45">
        <f t="shared" si="24"/>
        <v>0</v>
      </c>
      <c r="E62" s="45">
        <f t="shared" si="24"/>
        <v>0</v>
      </c>
      <c r="F62" s="45">
        <f t="shared" si="24"/>
        <v>0</v>
      </c>
      <c r="G62" s="45">
        <f t="shared" si="24"/>
        <v>0</v>
      </c>
      <c r="H62" s="45">
        <f t="shared" si="24"/>
        <v>0</v>
      </c>
      <c r="I62" s="92">
        <f t="shared" si="24"/>
        <v>0</v>
      </c>
      <c r="J62" s="281"/>
      <c r="K62" s="135">
        <f t="shared" si="24"/>
        <v>0</v>
      </c>
      <c r="L62" s="45">
        <f t="shared" si="24"/>
        <v>0</v>
      </c>
      <c r="M62" s="45">
        <f t="shared" si="24"/>
        <v>0</v>
      </c>
      <c r="N62" s="92">
        <f t="shared" si="24"/>
        <v>0</v>
      </c>
    </row>
  </sheetData>
  <mergeCells count="27">
    <mergeCell ref="F22:K22"/>
    <mergeCell ref="F19:K19"/>
    <mergeCell ref="F20:K20"/>
    <mergeCell ref="F21:K21"/>
    <mergeCell ref="F17:K17"/>
    <mergeCell ref="F18:K18"/>
    <mergeCell ref="D13:H13"/>
    <mergeCell ref="D11:H11"/>
    <mergeCell ref="D12:H12"/>
    <mergeCell ref="D5:H5"/>
    <mergeCell ref="D6:H6"/>
    <mergeCell ref="D7:H7"/>
    <mergeCell ref="D8:H8"/>
    <mergeCell ref="D9:H9"/>
    <mergeCell ref="D10:H10"/>
    <mergeCell ref="B55:E55"/>
    <mergeCell ref="F55:I55"/>
    <mergeCell ref="B41:I41"/>
    <mergeCell ref="K41:N41"/>
    <mergeCell ref="B42:E42"/>
    <mergeCell ref="F42:I42"/>
    <mergeCell ref="B26:I26"/>
    <mergeCell ref="K26:N26"/>
    <mergeCell ref="B27:E27"/>
    <mergeCell ref="F27:I27"/>
    <mergeCell ref="B54:I54"/>
    <mergeCell ref="K54:N54"/>
  </mergeCells>
  <conditionalFormatting sqref="B44:I49 K44:N49">
    <cfRule type="cellIs" dxfId="43" priority="1" operator="lessThan">
      <formula>0</formula>
    </cfRule>
  </conditionalFormatting>
  <conditionalFormatting sqref="B57:I60 K57:N60">
    <cfRule type="cellIs" dxfId="42" priority="2" operator="lessThan">
      <formula>0</formula>
    </cfRule>
  </conditionalFormatting>
  <pageMargins left="0.25" right="0.25" top="0.75" bottom="0.75" header="0.3" footer="0.3"/>
  <pageSetup paperSize="5" scale="5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/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7558519241921"/>
    <pageSetUpPr fitToPage="1"/>
  </sheetPr>
  <dimension ref="A1:AH73"/>
  <sheetViews>
    <sheetView topLeftCell="A8" workbookViewId="0">
      <selection activeCell="C36" sqref="C36"/>
    </sheetView>
  </sheetViews>
  <sheetFormatPr defaultColWidth="8.85546875" defaultRowHeight="15" x14ac:dyDescent="0.25"/>
  <cols>
    <col min="1" max="1" width="28.42578125" customWidth="1"/>
    <col min="2" max="9" width="11.85546875" customWidth="1"/>
    <col min="10" max="10" width="7.85546875" customWidth="1"/>
    <col min="11" max="14" width="11.85546875" customWidth="1"/>
    <col min="15" max="15" width="10.42578125" customWidth="1"/>
    <col min="16" max="16" width="3.85546875" customWidth="1"/>
    <col min="17" max="17" width="29.42578125" customWidth="1"/>
    <col min="18" max="23" width="12.42578125" customWidth="1"/>
    <col min="24" max="24" width="3.85546875" customWidth="1"/>
    <col min="25" max="25" width="10" customWidth="1"/>
    <col min="26" max="26" width="3.85546875" customWidth="1"/>
    <col min="27" max="27" width="19.42578125" customWidth="1"/>
    <col min="28" max="33" width="14.42578125" customWidth="1"/>
    <col min="34" max="34" width="3.85546875" customWidth="1"/>
  </cols>
  <sheetData>
    <row r="1" spans="1:34" ht="24.75" thickTop="1" thickBot="1" x14ac:dyDescent="0.4">
      <c r="A1" s="33" t="s">
        <v>238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33" t="str">
        <f>CompanyName &amp;" Annual Cash Flow Statement"</f>
        <v>WorkHorse Inc. Annual Cash Flow Statement</v>
      </c>
      <c r="R1" s="261"/>
      <c r="S1" s="261"/>
      <c r="T1" s="261"/>
      <c r="U1" s="261"/>
      <c r="V1" s="261"/>
      <c r="W1" s="261"/>
      <c r="X1" s="263"/>
      <c r="Z1" s="262"/>
      <c r="AA1" s="33" t="str">
        <f>CompanyName &amp;" Projected Cashflow"</f>
        <v>WorkHorse Inc. Projected Cashflow</v>
      </c>
      <c r="AB1" s="261"/>
      <c r="AC1" s="261"/>
      <c r="AD1" s="261"/>
      <c r="AE1" s="261"/>
      <c r="AF1" s="261"/>
      <c r="AG1" s="261"/>
      <c r="AH1" s="263"/>
    </row>
    <row r="2" spans="1:34" ht="15.75" thickTop="1" x14ac:dyDescent="0.25">
      <c r="A2" s="31" t="str">
        <f>"All Values in "&amp;SubHeader</f>
        <v>All Values in USD</v>
      </c>
      <c r="C2" s="28"/>
      <c r="D2" s="28"/>
      <c r="P2" s="199"/>
      <c r="X2" s="200"/>
      <c r="Z2" s="199"/>
      <c r="AH2" s="200"/>
    </row>
    <row r="3" spans="1:34" ht="17.25" x14ac:dyDescent="0.3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/>
      <c r="X3" s="200"/>
      <c r="Z3" s="199"/>
      <c r="AA3" s="253" t="s">
        <v>201</v>
      </c>
      <c r="AH3" s="200"/>
    </row>
    <row r="4" spans="1:34" ht="15" customHeight="1" x14ac:dyDescent="0.3"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Q4" s="253" t="s">
        <v>199</v>
      </c>
      <c r="X4" s="200"/>
      <c r="Z4" s="199"/>
      <c r="AH4" s="200"/>
    </row>
    <row r="5" spans="1:34" ht="19.5" x14ac:dyDescent="0.3">
      <c r="A5" s="35" t="s">
        <v>238</v>
      </c>
      <c r="P5" s="256"/>
      <c r="X5" s="257"/>
      <c r="Z5" s="256"/>
      <c r="AA5" s="39"/>
      <c r="AB5" s="39"/>
      <c r="AC5" s="39"/>
      <c r="AD5" s="39"/>
      <c r="AE5" s="39"/>
      <c r="AF5" s="39"/>
      <c r="AG5" s="39"/>
      <c r="AH5" s="257"/>
    </row>
    <row r="6" spans="1:34" ht="15" customHeight="1" x14ac:dyDescent="0.25">
      <c r="A6" s="31"/>
      <c r="B6" s="306" t="s">
        <v>161</v>
      </c>
      <c r="C6" s="307"/>
      <c r="D6" s="307"/>
      <c r="E6" s="307"/>
      <c r="F6" s="307"/>
      <c r="G6" s="307"/>
      <c r="H6" s="307"/>
      <c r="I6" s="308"/>
      <c r="J6" s="281"/>
      <c r="K6" s="309" t="s">
        <v>162</v>
      </c>
      <c r="L6" s="310"/>
      <c r="M6" s="310"/>
      <c r="N6" s="311"/>
      <c r="P6" s="199"/>
      <c r="R6" s="329" t="s">
        <v>200</v>
      </c>
      <c r="S6" s="330"/>
      <c r="T6" s="330"/>
      <c r="U6" s="330"/>
      <c r="V6" s="330"/>
      <c r="W6" s="331"/>
      <c r="X6" s="200"/>
      <c r="Z6" s="199"/>
      <c r="AH6" s="200"/>
    </row>
    <row r="7" spans="1:34" ht="15" customHeight="1" x14ac:dyDescent="0.25">
      <c r="A7" s="31"/>
      <c r="B7" s="312" t="s">
        <v>193</v>
      </c>
      <c r="C7" s="313"/>
      <c r="D7" s="313"/>
      <c r="E7" s="314"/>
      <c r="F7" s="315" t="s">
        <v>194</v>
      </c>
      <c r="G7" s="313"/>
      <c r="H7" s="313"/>
      <c r="I7" s="316"/>
      <c r="J7" s="281"/>
      <c r="K7" s="97" t="s">
        <v>135</v>
      </c>
      <c r="L7" s="98" t="s">
        <v>136</v>
      </c>
      <c r="M7" s="98" t="s">
        <v>137</v>
      </c>
      <c r="N7" s="99" t="s">
        <v>225</v>
      </c>
      <c r="P7" s="199"/>
      <c r="R7" s="97" t="s">
        <v>193</v>
      </c>
      <c r="S7" s="98" t="s">
        <v>194</v>
      </c>
      <c r="T7" s="98" t="s">
        <v>135</v>
      </c>
      <c r="U7" s="98" t="s">
        <v>136</v>
      </c>
      <c r="V7" s="98" t="s">
        <v>137</v>
      </c>
      <c r="W7" s="99" t="s">
        <v>225</v>
      </c>
      <c r="X7" s="200"/>
      <c r="Z7" s="199"/>
      <c r="AH7" s="200"/>
    </row>
    <row r="8" spans="1:34" ht="15" customHeight="1" x14ac:dyDescent="0.25">
      <c r="A8" s="51"/>
      <c r="B8" s="93">
        <f>StartDate</f>
        <v>43831</v>
      </c>
      <c r="C8" s="52">
        <f>EDATE(B8,3)</f>
        <v>43922</v>
      </c>
      <c r="D8" s="52">
        <f t="shared" ref="D8:I8" si="0">EDATE(C8,3)</f>
        <v>44013</v>
      </c>
      <c r="E8" s="52">
        <f t="shared" si="0"/>
        <v>44105</v>
      </c>
      <c r="F8" s="52">
        <f t="shared" si="0"/>
        <v>44197</v>
      </c>
      <c r="G8" s="52">
        <f t="shared" si="0"/>
        <v>44287</v>
      </c>
      <c r="H8" s="52">
        <f t="shared" si="0"/>
        <v>44378</v>
      </c>
      <c r="I8" s="89">
        <f t="shared" si="0"/>
        <v>44470</v>
      </c>
      <c r="J8" s="281"/>
      <c r="K8" s="93">
        <f>EDATE(I8,3)</f>
        <v>44562</v>
      </c>
      <c r="L8" s="52">
        <f t="shared" ref="L8:N8" si="1">EDATE(K8,12)</f>
        <v>44927</v>
      </c>
      <c r="M8" s="52">
        <f t="shared" si="1"/>
        <v>45292</v>
      </c>
      <c r="N8" s="96">
        <f t="shared" si="1"/>
        <v>45658</v>
      </c>
      <c r="P8" s="199"/>
      <c r="R8" s="265">
        <f>B8</f>
        <v>43831</v>
      </c>
      <c r="S8" s="266">
        <f>F8</f>
        <v>44197</v>
      </c>
      <c r="T8" s="266">
        <f>K8</f>
        <v>44562</v>
      </c>
      <c r="U8" s="266">
        <f t="shared" ref="U8:W8" si="2">L8</f>
        <v>44927</v>
      </c>
      <c r="V8" s="266">
        <f t="shared" si="2"/>
        <v>45292</v>
      </c>
      <c r="W8" s="267">
        <f t="shared" si="2"/>
        <v>45658</v>
      </c>
      <c r="X8" s="200"/>
      <c r="Z8" s="199"/>
      <c r="AH8" s="200"/>
    </row>
    <row r="9" spans="1:34" ht="15" customHeight="1" x14ac:dyDescent="0.25">
      <c r="B9" s="195"/>
      <c r="C9" s="29"/>
      <c r="D9" s="29"/>
      <c r="E9" s="29"/>
      <c r="F9" s="29"/>
      <c r="G9" s="29"/>
      <c r="H9" s="30"/>
      <c r="I9" s="196"/>
      <c r="J9" s="281"/>
      <c r="K9" s="213"/>
      <c r="L9" s="30"/>
      <c r="M9" s="30"/>
      <c r="N9" s="196"/>
      <c r="P9" s="199"/>
      <c r="Q9" s="36"/>
      <c r="R9" s="213"/>
      <c r="S9" s="30"/>
      <c r="T9" s="30"/>
      <c r="U9" s="30"/>
      <c r="V9" s="30"/>
      <c r="W9" s="196"/>
      <c r="X9" s="200"/>
      <c r="Z9" s="199"/>
      <c r="AH9" s="200"/>
    </row>
    <row r="10" spans="1:34" x14ac:dyDescent="0.25">
      <c r="A10" s="80" t="s">
        <v>101</v>
      </c>
      <c r="B10" s="197">
        <v>0</v>
      </c>
      <c r="C10" s="81">
        <f>B33</f>
        <v>416000</v>
      </c>
      <c r="D10" s="81">
        <f t="shared" ref="D10:N10" si="3">C33</f>
        <v>2332000</v>
      </c>
      <c r="E10" s="81">
        <f t="shared" si="3"/>
        <v>2214200</v>
      </c>
      <c r="F10" s="81">
        <f t="shared" si="3"/>
        <v>2051600</v>
      </c>
      <c r="G10" s="81">
        <f t="shared" si="3"/>
        <v>1363948.493150685</v>
      </c>
      <c r="H10" s="81">
        <f t="shared" si="3"/>
        <v>1259883.493150685</v>
      </c>
      <c r="I10" s="198">
        <f t="shared" si="3"/>
        <v>1082643.493150685</v>
      </c>
      <c r="J10" s="281"/>
      <c r="K10" s="197">
        <f>I33</f>
        <v>867628.49315068487</v>
      </c>
      <c r="L10" s="81">
        <f t="shared" si="3"/>
        <v>55169.135029353085</v>
      </c>
      <c r="M10" s="81">
        <f t="shared" si="3"/>
        <v>381531.19345400913</v>
      </c>
      <c r="N10" s="198">
        <f t="shared" si="3"/>
        <v>786947.22164647456</v>
      </c>
      <c r="P10" s="199"/>
      <c r="Q10" s="80" t="str">
        <f>A10</f>
        <v>Beginning Cash Balance</v>
      </c>
      <c r="R10" s="197">
        <f>B10</f>
        <v>0</v>
      </c>
      <c r="S10" s="81">
        <f>F10</f>
        <v>2051600</v>
      </c>
      <c r="T10" s="81">
        <f>K10</f>
        <v>867628.49315068487</v>
      </c>
      <c r="U10" s="81">
        <f t="shared" ref="U10:W10" si="4">L10</f>
        <v>55169.135029353085</v>
      </c>
      <c r="V10" s="81">
        <f t="shared" si="4"/>
        <v>381531.19345400913</v>
      </c>
      <c r="W10" s="198">
        <f t="shared" si="4"/>
        <v>786947.22164647456</v>
      </c>
      <c r="X10" s="200"/>
      <c r="Z10" s="199"/>
      <c r="AH10" s="200"/>
    </row>
    <row r="11" spans="1:34" x14ac:dyDescent="0.25">
      <c r="B11" s="199"/>
      <c r="I11" s="200"/>
      <c r="J11" s="281"/>
      <c r="K11" s="199"/>
      <c r="N11" s="200"/>
      <c r="P11" s="199"/>
      <c r="R11" s="199"/>
      <c r="W11" s="200"/>
      <c r="X11" s="200"/>
      <c r="Z11" s="199"/>
      <c r="AH11" s="200"/>
    </row>
    <row r="12" spans="1:34" s="53" customFormat="1" x14ac:dyDescent="0.25">
      <c r="A12" s="69" t="s">
        <v>103</v>
      </c>
      <c r="B12" s="201"/>
      <c r="C12" s="202"/>
      <c r="D12" s="202"/>
      <c r="E12" s="202"/>
      <c r="F12" s="202"/>
      <c r="G12" s="202"/>
      <c r="H12" s="202"/>
      <c r="I12" s="203"/>
      <c r="J12" s="281"/>
      <c r="K12" s="201"/>
      <c r="L12" s="202"/>
      <c r="M12" s="202"/>
      <c r="N12" s="203"/>
      <c r="P12" s="199"/>
      <c r="Q12" s="69" t="str">
        <f t="shared" ref="Q12:Q33" si="5">A12</f>
        <v>Operating</v>
      </c>
      <c r="R12" s="201"/>
      <c r="S12" s="202"/>
      <c r="T12" s="202"/>
      <c r="U12" s="202"/>
      <c r="V12" s="202"/>
      <c r="W12" s="203"/>
      <c r="X12" s="200"/>
      <c r="Z12" s="199"/>
      <c r="AA12"/>
      <c r="AB12"/>
      <c r="AC12"/>
      <c r="AD12"/>
      <c r="AE12"/>
      <c r="AF12"/>
      <c r="AG12"/>
      <c r="AH12" s="200"/>
    </row>
    <row r="13" spans="1:34" x14ac:dyDescent="0.25">
      <c r="A13" s="83" t="s">
        <v>49</v>
      </c>
      <c r="B13" s="204">
        <f>Revenues!B19</f>
        <v>0</v>
      </c>
      <c r="C13" s="70">
        <f>Revenues!C19</f>
        <v>0</v>
      </c>
      <c r="D13" s="70">
        <f>Revenues!D19</f>
        <v>0</v>
      </c>
      <c r="E13" s="70">
        <f>Revenues!E19</f>
        <v>0</v>
      </c>
      <c r="F13" s="70">
        <f>Revenues!F19</f>
        <v>578549.99999999988</v>
      </c>
      <c r="G13" s="70">
        <f>Revenues!G19</f>
        <v>578549.99999999988</v>
      </c>
      <c r="H13" s="70">
        <f>Revenues!H19</f>
        <v>578549.99999999988</v>
      </c>
      <c r="I13" s="205">
        <f>Revenues!I19</f>
        <v>578549.99999999988</v>
      </c>
      <c r="J13" s="281"/>
      <c r="K13" s="204">
        <f>Revenues!K19</f>
        <v>7592399.9999999991</v>
      </c>
      <c r="L13" s="70">
        <f>Revenues!L19</f>
        <v>12870600</v>
      </c>
      <c r="M13" s="70">
        <f>Revenues!M19</f>
        <v>21112800</v>
      </c>
      <c r="N13" s="205">
        <f>Revenues!N19</f>
        <v>35283000</v>
      </c>
      <c r="P13" s="199"/>
      <c r="Q13" s="83" t="str">
        <f t="shared" si="5"/>
        <v>Revenues</v>
      </c>
      <c r="R13" s="204">
        <f t="shared" ref="R13:R29" si="6">SUM(B13:E13)</f>
        <v>0</v>
      </c>
      <c r="S13" s="70">
        <f t="shared" ref="S13:S29" si="7">SUM(F13:I13)</f>
        <v>2314199.9999999995</v>
      </c>
      <c r="T13" s="70">
        <f t="shared" ref="T13:T31" si="8">K13</f>
        <v>7592399.9999999991</v>
      </c>
      <c r="U13" s="70">
        <f t="shared" ref="U13:U33" si="9">L13</f>
        <v>12870600</v>
      </c>
      <c r="V13" s="70">
        <f t="shared" ref="V13:V33" si="10">M13</f>
        <v>21112800</v>
      </c>
      <c r="W13" s="205">
        <f t="shared" ref="W13:W33" si="11">N13</f>
        <v>35283000</v>
      </c>
      <c r="X13" s="200"/>
      <c r="Z13" s="199"/>
      <c r="AH13" s="200"/>
    </row>
    <row r="14" spans="1:34" x14ac:dyDescent="0.25">
      <c r="A14" s="84" t="s">
        <v>45</v>
      </c>
      <c r="B14" s="204">
        <f>'Total Expenses'!B9*-1</f>
        <v>0</v>
      </c>
      <c r="C14" s="70">
        <f>'Total Expenses'!C9*-1</f>
        <v>0</v>
      </c>
      <c r="D14" s="70">
        <f>'Total Expenses'!D9*-1</f>
        <v>0</v>
      </c>
      <c r="E14" s="70">
        <f>'Total Expenses'!E9*-1</f>
        <v>0</v>
      </c>
      <c r="F14" s="70">
        <f>'Total Expenses'!F9*-1</f>
        <v>-231140</v>
      </c>
      <c r="G14" s="70">
        <f>'Total Expenses'!G9*-1</f>
        <v>-231140</v>
      </c>
      <c r="H14" s="70">
        <f>'Total Expenses'!H9*-1</f>
        <v>-231140</v>
      </c>
      <c r="I14" s="205">
        <f>'Total Expenses'!I9*-1</f>
        <v>-231140</v>
      </c>
      <c r="J14" s="281"/>
      <c r="K14" s="204">
        <f>'Total Expenses'!K9*-1</f>
        <v>-3621196.8000000007</v>
      </c>
      <c r="L14" s="70">
        <f>'Total Expenses'!L9*-1</f>
        <v>-6532085.2480000006</v>
      </c>
      <c r="M14" s="70">
        <f>'Total Expenses'!M9*-1</f>
        <v>-11506728.796160001</v>
      </c>
      <c r="N14" s="205">
        <f>'Total Expenses'!N9*-1</f>
        <v>-20689182.605312005</v>
      </c>
      <c r="P14" s="199"/>
      <c r="Q14" s="84" t="str">
        <f t="shared" si="5"/>
        <v>COGS</v>
      </c>
      <c r="R14" s="204">
        <f t="shared" si="6"/>
        <v>0</v>
      </c>
      <c r="S14" s="70">
        <f t="shared" si="7"/>
        <v>-924560</v>
      </c>
      <c r="T14" s="70">
        <f t="shared" si="8"/>
        <v>-3621196.8000000007</v>
      </c>
      <c r="U14" s="70">
        <f t="shared" si="9"/>
        <v>-6532085.2480000006</v>
      </c>
      <c r="V14" s="70">
        <f t="shared" si="10"/>
        <v>-11506728.796160001</v>
      </c>
      <c r="W14" s="205">
        <f t="shared" si="11"/>
        <v>-20689182.605312005</v>
      </c>
      <c r="X14" s="200"/>
      <c r="Z14" s="199"/>
      <c r="AH14" s="200"/>
    </row>
    <row r="15" spans="1:34" s="26" customFormat="1" x14ac:dyDescent="0.25">
      <c r="A15" s="84" t="s">
        <v>40</v>
      </c>
      <c r="B15" s="204">
        <f>'Total Expenses'!B10*-1</f>
        <v>-84000</v>
      </c>
      <c r="C15" s="70">
        <f>'Total Expenses'!C10*-1</f>
        <v>-84000</v>
      </c>
      <c r="D15" s="70">
        <f>'Total Expenses'!D10*-1</f>
        <v>-111800</v>
      </c>
      <c r="E15" s="70">
        <f>'Total Expenses'!E10*-1</f>
        <v>-139600</v>
      </c>
      <c r="F15" s="70">
        <f>'Total Expenses'!F10*-1</f>
        <v>-350450</v>
      </c>
      <c r="G15" s="70">
        <f>'Total Expenses'!G10*-1</f>
        <v>-416475</v>
      </c>
      <c r="H15" s="70">
        <f>'Total Expenses'!H10*-1</f>
        <v>-461650</v>
      </c>
      <c r="I15" s="205">
        <f>'Total Expenses'!I10*-1</f>
        <v>-562425</v>
      </c>
      <c r="J15" s="281"/>
      <c r="K15" s="204">
        <f>'Total Expenses'!K10*-1</f>
        <v>-2879620</v>
      </c>
      <c r="L15" s="70">
        <f>'Total Expenses'!L10*-1</f>
        <v>-4344664.5</v>
      </c>
      <c r="M15" s="70">
        <f>'Total Expenses'!M10*-1</f>
        <v>-5546435.8250000002</v>
      </c>
      <c r="N15" s="205">
        <f>'Total Expenses'!N10*-1</f>
        <v>-6976264.0137499999</v>
      </c>
      <c r="P15" s="199"/>
      <c r="Q15" s="84" t="str">
        <f t="shared" si="5"/>
        <v>Operating Expenses</v>
      </c>
      <c r="R15" s="204">
        <f t="shared" si="6"/>
        <v>-419400</v>
      </c>
      <c r="S15" s="70">
        <f t="shared" si="7"/>
        <v>-1791000</v>
      </c>
      <c r="T15" s="70">
        <f t="shared" si="8"/>
        <v>-2879620</v>
      </c>
      <c r="U15" s="70">
        <f t="shared" si="9"/>
        <v>-4344664.5</v>
      </c>
      <c r="V15" s="70">
        <f t="shared" si="10"/>
        <v>-5546435.8250000002</v>
      </c>
      <c r="W15" s="205">
        <f t="shared" si="11"/>
        <v>-6976264.0137499999</v>
      </c>
      <c r="X15" s="200"/>
      <c r="Z15" s="199"/>
      <c r="AA15"/>
      <c r="AB15"/>
      <c r="AC15"/>
      <c r="AD15"/>
      <c r="AE15"/>
      <c r="AF15"/>
      <c r="AG15"/>
      <c r="AH15" s="200"/>
    </row>
    <row r="16" spans="1:34" x14ac:dyDescent="0.25">
      <c r="A16" s="84" t="str">
        <f>'Working Capital'!A36</f>
        <v>Change in Net Working Capital</v>
      </c>
      <c r="B16" s="204">
        <f>'Working Capital'!B36</f>
        <v>0</v>
      </c>
      <c r="C16" s="70">
        <f>'Working Capital'!C36</f>
        <v>0</v>
      </c>
      <c r="D16" s="70">
        <f>'Working Capital'!D36</f>
        <v>0</v>
      </c>
      <c r="E16" s="70">
        <f>'Working Capital'!E36</f>
        <v>0</v>
      </c>
      <c r="F16" s="70">
        <f>'Working Capital'!F36</f>
        <v>-684611.50684931502</v>
      </c>
      <c r="G16" s="70">
        <f>'Working Capital'!G36</f>
        <v>0</v>
      </c>
      <c r="H16" s="70">
        <f>'Working Capital'!H36</f>
        <v>0</v>
      </c>
      <c r="I16" s="205">
        <f>'Working Capital'!I36</f>
        <v>0</v>
      </c>
      <c r="J16" s="281"/>
      <c r="K16" s="204">
        <f>'Working Capital'!K36</f>
        <v>-1633936.0438356162</v>
      </c>
      <c r="L16" s="70">
        <f>'Working Capital'!L36</f>
        <v>-1660350.6305753435</v>
      </c>
      <c r="M16" s="70">
        <f>'Working Capital'!M36</f>
        <v>-2645635.5059375335</v>
      </c>
      <c r="N16" s="205">
        <f>'Working Capital'!N36</f>
        <v>-4626105.264142029</v>
      </c>
      <c r="P16" s="199"/>
      <c r="Q16" s="84" t="str">
        <f t="shared" si="5"/>
        <v>Change in Net Working Capital</v>
      </c>
      <c r="R16" s="204">
        <f t="shared" si="6"/>
        <v>0</v>
      </c>
      <c r="S16" s="70">
        <f>SUM(F16:I16)</f>
        <v>-684611.50684931502</v>
      </c>
      <c r="T16" s="70">
        <f t="shared" si="8"/>
        <v>-1633936.0438356162</v>
      </c>
      <c r="U16" s="70">
        <f t="shared" si="9"/>
        <v>-1660350.6305753435</v>
      </c>
      <c r="V16" s="70">
        <f t="shared" si="10"/>
        <v>-2645635.5059375335</v>
      </c>
      <c r="W16" s="205">
        <f t="shared" si="11"/>
        <v>-4626105.264142029</v>
      </c>
      <c r="X16" s="200"/>
      <c r="Z16" s="199"/>
      <c r="AH16" s="200"/>
    </row>
    <row r="17" spans="1:34" ht="15.75" thickBot="1" x14ac:dyDescent="0.3">
      <c r="A17" s="85" t="s">
        <v>99</v>
      </c>
      <c r="B17" s="206">
        <f>'Income Statement'!B24</f>
        <v>0</v>
      </c>
      <c r="C17" s="71">
        <f>'Income Statement'!C24</f>
        <v>0</v>
      </c>
      <c r="D17" s="71">
        <f>'Income Statement'!D24</f>
        <v>0</v>
      </c>
      <c r="E17" s="71">
        <f>'Income Statement'!E24</f>
        <v>0</v>
      </c>
      <c r="F17" s="71">
        <f>'Income Statement'!F24</f>
        <v>0</v>
      </c>
      <c r="G17" s="71">
        <f>'Income Statement'!G24</f>
        <v>0</v>
      </c>
      <c r="H17" s="71">
        <f>'Income Statement'!H24</f>
        <v>0</v>
      </c>
      <c r="I17" s="207">
        <f>'Income Statement'!I24</f>
        <v>0</v>
      </c>
      <c r="J17" s="281"/>
      <c r="K17" s="206">
        <f>'Income Statement'!K24</f>
        <v>-267106.51428571384</v>
      </c>
      <c r="L17" s="71">
        <f>'Income Statement'!L24</f>
        <v>-492137.56299999985</v>
      </c>
      <c r="M17" s="71">
        <f>'Income Statement'!M24</f>
        <v>-1008583.8447099996</v>
      </c>
      <c r="N17" s="207">
        <f>'Income Statement'!N24</f>
        <v>-1895813.3452344988</v>
      </c>
      <c r="P17" s="199"/>
      <c r="Q17" s="85" t="str">
        <f t="shared" si="5"/>
        <v>Taxes</v>
      </c>
      <c r="R17" s="206">
        <f t="shared" si="6"/>
        <v>0</v>
      </c>
      <c r="S17" s="71">
        <f t="shared" si="7"/>
        <v>0</v>
      </c>
      <c r="T17" s="71">
        <f t="shared" si="8"/>
        <v>-267106.51428571384</v>
      </c>
      <c r="U17" s="71">
        <f t="shared" si="9"/>
        <v>-492137.56299999985</v>
      </c>
      <c r="V17" s="71">
        <f t="shared" si="10"/>
        <v>-1008583.8447099996</v>
      </c>
      <c r="W17" s="207">
        <f t="shared" si="11"/>
        <v>-1895813.3452344988</v>
      </c>
      <c r="X17" s="200"/>
      <c r="Z17" s="199"/>
      <c r="AH17" s="200"/>
    </row>
    <row r="18" spans="1:34" s="26" customFormat="1" ht="16.5" thickTop="1" thickBot="1" x14ac:dyDescent="0.3">
      <c r="A18" s="73" t="s">
        <v>104</v>
      </c>
      <c r="B18" s="217">
        <f t="shared" ref="B18:I18" si="12">SUM(B13:B17)</f>
        <v>-84000</v>
      </c>
      <c r="C18" s="218">
        <f t="shared" si="12"/>
        <v>-84000</v>
      </c>
      <c r="D18" s="218">
        <f t="shared" si="12"/>
        <v>-111800</v>
      </c>
      <c r="E18" s="218">
        <f t="shared" si="12"/>
        <v>-139600</v>
      </c>
      <c r="F18" s="218">
        <f t="shared" si="12"/>
        <v>-687651.50684931513</v>
      </c>
      <c r="G18" s="218">
        <f t="shared" si="12"/>
        <v>-69065.000000000116</v>
      </c>
      <c r="H18" s="218">
        <f t="shared" si="12"/>
        <v>-114240.00000000012</v>
      </c>
      <c r="I18" s="219">
        <f t="shared" si="12"/>
        <v>-215015.00000000012</v>
      </c>
      <c r="J18" s="281"/>
      <c r="K18" s="217">
        <f>SUM(K13:K17)</f>
        <v>-809459.35812133178</v>
      </c>
      <c r="L18" s="218">
        <f>SUM(L13:L17)</f>
        <v>-158637.94157534395</v>
      </c>
      <c r="M18" s="218">
        <f>SUM(M13:M17)</f>
        <v>405416.02819246543</v>
      </c>
      <c r="N18" s="219">
        <f>SUM(N13:N17)</f>
        <v>1095634.7715614676</v>
      </c>
      <c r="P18" s="199"/>
      <c r="Q18" s="73" t="str">
        <f t="shared" si="5"/>
        <v>Total Operating</v>
      </c>
      <c r="R18" s="217">
        <f>SUM(B18:E18)</f>
        <v>-419400</v>
      </c>
      <c r="S18" s="218">
        <f t="shared" si="7"/>
        <v>-1085971.5068493155</v>
      </c>
      <c r="T18" s="218">
        <f t="shared" si="8"/>
        <v>-809459.35812133178</v>
      </c>
      <c r="U18" s="218">
        <f t="shared" si="9"/>
        <v>-158637.94157534395</v>
      </c>
      <c r="V18" s="218">
        <f t="shared" si="10"/>
        <v>405416.02819246543</v>
      </c>
      <c r="W18" s="219">
        <f t="shared" si="11"/>
        <v>1095634.7715614676</v>
      </c>
      <c r="X18" s="200"/>
      <c r="Z18" s="136"/>
      <c r="AA18" s="137"/>
      <c r="AB18" s="137"/>
      <c r="AC18" s="137"/>
      <c r="AD18" s="137"/>
      <c r="AE18" s="137"/>
      <c r="AF18" s="137"/>
      <c r="AG18" s="137"/>
      <c r="AH18" s="138"/>
    </row>
    <row r="19" spans="1:34" ht="15.75" thickTop="1" x14ac:dyDescent="0.25">
      <c r="B19" s="199"/>
      <c r="I19" s="200"/>
      <c r="J19" s="281"/>
      <c r="K19" s="199"/>
      <c r="N19" s="200"/>
      <c r="P19" s="199"/>
      <c r="R19" s="199"/>
      <c r="W19" s="200"/>
      <c r="X19" s="200"/>
      <c r="Z19" s="258"/>
      <c r="AA19" s="259"/>
      <c r="AB19" s="259"/>
      <c r="AC19" s="259"/>
      <c r="AD19" s="259"/>
      <c r="AE19" s="259"/>
      <c r="AF19" s="259"/>
      <c r="AG19" s="259"/>
      <c r="AH19" s="255"/>
    </row>
    <row r="20" spans="1:34" ht="17.25" x14ac:dyDescent="0.3">
      <c r="A20" s="69" t="s">
        <v>102</v>
      </c>
      <c r="B20" s="201"/>
      <c r="C20" s="202"/>
      <c r="D20" s="202"/>
      <c r="E20" s="202"/>
      <c r="F20" s="202"/>
      <c r="G20" s="202"/>
      <c r="H20" s="202"/>
      <c r="I20" s="203"/>
      <c r="J20" s="281"/>
      <c r="K20" s="201"/>
      <c r="L20" s="202"/>
      <c r="M20" s="202"/>
      <c r="N20" s="203"/>
      <c r="P20" s="199"/>
      <c r="Q20" s="69" t="str">
        <f t="shared" si="5"/>
        <v>Investing</v>
      </c>
      <c r="R20" s="201"/>
      <c r="S20" s="202"/>
      <c r="T20" s="202"/>
      <c r="U20" s="202"/>
      <c r="V20" s="202"/>
      <c r="W20" s="203"/>
      <c r="X20" s="200"/>
      <c r="Z20" s="199"/>
      <c r="AA20" s="253" t="s">
        <v>252</v>
      </c>
      <c r="AH20" s="200"/>
    </row>
    <row r="21" spans="1:34" x14ac:dyDescent="0.25">
      <c r="A21" s="84" t="s">
        <v>105</v>
      </c>
      <c r="B21" s="204">
        <f>'Capital Expenses'!B52*-1</f>
        <v>0</v>
      </c>
      <c r="C21" s="70">
        <f>'Capital Expenses'!C52*-1</f>
        <v>0</v>
      </c>
      <c r="D21" s="70">
        <f>'Capital Expenses'!D52*-1</f>
        <v>-6000</v>
      </c>
      <c r="E21" s="70">
        <f>'Capital Expenses'!E52*-1</f>
        <v>-23000</v>
      </c>
      <c r="F21" s="70">
        <f>'Capital Expenses'!F52*-1</f>
        <v>0</v>
      </c>
      <c r="G21" s="70">
        <f>'Capital Expenses'!G52*-1</f>
        <v>-35000</v>
      </c>
      <c r="H21" s="70">
        <f>'Capital Expenses'!H52*-1</f>
        <v>-63000</v>
      </c>
      <c r="I21" s="205">
        <f>'Capital Expenses'!I52*-1</f>
        <v>0</v>
      </c>
      <c r="J21" s="281"/>
      <c r="K21" s="204">
        <f>'Capital Expenses'!K52*-1</f>
        <v>-3000</v>
      </c>
      <c r="L21" s="70">
        <f>'Capital Expenses'!L52*-1</f>
        <v>-15000</v>
      </c>
      <c r="M21" s="70">
        <f>'Capital Expenses'!M52*-1</f>
        <v>0</v>
      </c>
      <c r="N21" s="205">
        <f>'Capital Expenses'!N52*-1</f>
        <v>-45000</v>
      </c>
      <c r="P21" s="199"/>
      <c r="Q21" s="84" t="str">
        <f t="shared" si="5"/>
        <v>Capital Assets</v>
      </c>
      <c r="R21" s="204">
        <f t="shared" si="6"/>
        <v>-29000</v>
      </c>
      <c r="S21" s="70">
        <f t="shared" si="7"/>
        <v>-98000</v>
      </c>
      <c r="T21" s="70">
        <f t="shared" si="8"/>
        <v>-3000</v>
      </c>
      <c r="U21" s="70">
        <f t="shared" si="9"/>
        <v>-15000</v>
      </c>
      <c r="V21" s="70">
        <f t="shared" si="10"/>
        <v>0</v>
      </c>
      <c r="W21" s="205">
        <f t="shared" si="11"/>
        <v>-45000</v>
      </c>
      <c r="X21" s="200"/>
      <c r="Z21" s="199"/>
      <c r="AH21" s="200"/>
    </row>
    <row r="22" spans="1:34" ht="15.75" thickBot="1" x14ac:dyDescent="0.3">
      <c r="A22" s="85" t="s">
        <v>106</v>
      </c>
      <c r="B22" s="206">
        <v>0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207">
        <v>0</v>
      </c>
      <c r="J22" s="281"/>
      <c r="K22" s="206">
        <v>0</v>
      </c>
      <c r="L22" s="71">
        <v>0</v>
      </c>
      <c r="M22" s="71">
        <v>0</v>
      </c>
      <c r="N22" s="207">
        <v>0</v>
      </c>
      <c r="P22" s="199"/>
      <c r="Q22" s="85" t="str">
        <f t="shared" si="5"/>
        <v>Other Investments</v>
      </c>
      <c r="R22" s="206">
        <f>SUM(B22:E22)</f>
        <v>0</v>
      </c>
      <c r="S22" s="71">
        <f t="shared" si="7"/>
        <v>0</v>
      </c>
      <c r="T22" s="71">
        <f t="shared" si="8"/>
        <v>0</v>
      </c>
      <c r="U22" s="71">
        <f t="shared" si="9"/>
        <v>0</v>
      </c>
      <c r="V22" s="71">
        <f t="shared" si="10"/>
        <v>0</v>
      </c>
      <c r="W22" s="207">
        <f t="shared" si="11"/>
        <v>0</v>
      </c>
      <c r="X22" s="200"/>
      <c r="Z22" s="199"/>
      <c r="AB22" s="329" t="s">
        <v>200</v>
      </c>
      <c r="AC22" s="330"/>
      <c r="AD22" s="330"/>
      <c r="AE22" s="330"/>
      <c r="AF22" s="330"/>
      <c r="AG22" s="331"/>
      <c r="AH22" s="200"/>
    </row>
    <row r="23" spans="1:34" s="26" customFormat="1" ht="15.75" thickTop="1" x14ac:dyDescent="0.25">
      <c r="A23" s="73" t="s">
        <v>107</v>
      </c>
      <c r="B23" s="217">
        <f>SUM(B21:B22)</f>
        <v>0</v>
      </c>
      <c r="C23" s="218">
        <f t="shared" ref="C23:N23" si="13">SUM(C21:C22)</f>
        <v>0</v>
      </c>
      <c r="D23" s="218">
        <f t="shared" si="13"/>
        <v>-6000</v>
      </c>
      <c r="E23" s="218">
        <f t="shared" si="13"/>
        <v>-23000</v>
      </c>
      <c r="F23" s="218">
        <f t="shared" si="13"/>
        <v>0</v>
      </c>
      <c r="G23" s="218">
        <f t="shared" si="13"/>
        <v>-35000</v>
      </c>
      <c r="H23" s="218">
        <f t="shared" si="13"/>
        <v>-63000</v>
      </c>
      <c r="I23" s="219">
        <f t="shared" si="13"/>
        <v>0</v>
      </c>
      <c r="J23" s="281"/>
      <c r="K23" s="217">
        <f t="shared" si="13"/>
        <v>-3000</v>
      </c>
      <c r="L23" s="218">
        <f t="shared" si="13"/>
        <v>-15000</v>
      </c>
      <c r="M23" s="218">
        <f t="shared" si="13"/>
        <v>0</v>
      </c>
      <c r="N23" s="219">
        <f t="shared" si="13"/>
        <v>-45000</v>
      </c>
      <c r="P23" s="199"/>
      <c r="Q23" s="73" t="str">
        <f t="shared" si="5"/>
        <v>Total Investing</v>
      </c>
      <c r="R23" s="217">
        <f t="shared" si="6"/>
        <v>-29000</v>
      </c>
      <c r="S23" s="218">
        <f t="shared" si="7"/>
        <v>-98000</v>
      </c>
      <c r="T23" s="218">
        <f t="shared" si="8"/>
        <v>-3000</v>
      </c>
      <c r="U23" s="218">
        <f t="shared" si="9"/>
        <v>-15000</v>
      </c>
      <c r="V23" s="218">
        <f t="shared" si="10"/>
        <v>0</v>
      </c>
      <c r="W23" s="219">
        <f t="shared" si="11"/>
        <v>-45000</v>
      </c>
      <c r="X23" s="200"/>
      <c r="Z23" s="199"/>
      <c r="AA23"/>
      <c r="AB23" s="97" t="s">
        <v>193</v>
      </c>
      <c r="AC23" s="98" t="s">
        <v>194</v>
      </c>
      <c r="AD23" s="98" t="s">
        <v>135</v>
      </c>
      <c r="AE23" s="98" t="s">
        <v>136</v>
      </c>
      <c r="AF23" s="98" t="s">
        <v>137</v>
      </c>
      <c r="AG23" s="99" t="s">
        <v>225</v>
      </c>
      <c r="AH23" s="200"/>
    </row>
    <row r="24" spans="1:34" x14ac:dyDescent="0.25">
      <c r="B24" s="199"/>
      <c r="I24" s="200"/>
      <c r="J24" s="281"/>
      <c r="K24" s="199"/>
      <c r="N24" s="200"/>
      <c r="P24" s="199"/>
      <c r="R24" s="199"/>
      <c r="W24" s="200"/>
      <c r="X24" s="200"/>
      <c r="Z24" s="199"/>
      <c r="AB24" s="93">
        <f>B8</f>
        <v>43831</v>
      </c>
      <c r="AC24" s="52">
        <f>F8</f>
        <v>44197</v>
      </c>
      <c r="AD24" s="52">
        <f>K8</f>
        <v>44562</v>
      </c>
      <c r="AE24" s="52">
        <f>L8</f>
        <v>44927</v>
      </c>
      <c r="AF24" s="52">
        <f>M8</f>
        <v>45292</v>
      </c>
      <c r="AG24" s="96">
        <f>N8</f>
        <v>45658</v>
      </c>
      <c r="AH24" s="200"/>
    </row>
    <row r="25" spans="1:34" x14ac:dyDescent="0.25">
      <c r="A25" s="69" t="s">
        <v>108</v>
      </c>
      <c r="B25" s="201"/>
      <c r="C25" s="202"/>
      <c r="D25" s="202"/>
      <c r="E25" s="202"/>
      <c r="F25" s="202"/>
      <c r="G25" s="202"/>
      <c r="H25" s="202"/>
      <c r="I25" s="203"/>
      <c r="J25" s="281"/>
      <c r="K25" s="201"/>
      <c r="L25" s="202"/>
      <c r="M25" s="202"/>
      <c r="N25" s="203"/>
      <c r="P25" s="199"/>
      <c r="Q25" s="69" t="str">
        <f t="shared" si="5"/>
        <v>Financing</v>
      </c>
      <c r="R25" s="201"/>
      <c r="S25" s="202"/>
      <c r="T25" s="202"/>
      <c r="U25" s="202"/>
      <c r="V25" s="202"/>
      <c r="W25" s="203"/>
      <c r="X25" s="200"/>
      <c r="Z25" s="199"/>
      <c r="AA25" s="36" t="str">
        <f>A31</f>
        <v>Cash Flow</v>
      </c>
      <c r="AB25" s="204">
        <f>SUM(B31:E31)</f>
        <v>2051600</v>
      </c>
      <c r="AC25" s="70">
        <f>SUM(F31:I31)</f>
        <v>-1183971.5068493155</v>
      </c>
      <c r="AD25" s="70">
        <f>K31</f>
        <v>-812459.35812133178</v>
      </c>
      <c r="AE25" s="70">
        <f t="shared" ref="AE25:AG25" si="14">L31</f>
        <v>326362.05842465605</v>
      </c>
      <c r="AF25" s="70">
        <f t="shared" si="14"/>
        <v>405416.02819246543</v>
      </c>
      <c r="AG25" s="205">
        <f t="shared" si="14"/>
        <v>1050634.7715614676</v>
      </c>
      <c r="AH25" s="200"/>
    </row>
    <row r="26" spans="1:34" ht="15.75" thickBot="1" x14ac:dyDescent="0.3">
      <c r="A26" s="84" t="s">
        <v>109</v>
      </c>
      <c r="B26" s="204">
        <f>Financing!B37</f>
        <v>500000</v>
      </c>
      <c r="C26" s="70">
        <f>Financing!C37</f>
        <v>2000000</v>
      </c>
      <c r="D26" s="70">
        <f>Financing!D37</f>
        <v>0</v>
      </c>
      <c r="E26" s="70">
        <f>Financing!E37</f>
        <v>0</v>
      </c>
      <c r="F26" s="70">
        <f>Financing!F37</f>
        <v>0</v>
      </c>
      <c r="G26" s="70">
        <f>Financing!G37</f>
        <v>0</v>
      </c>
      <c r="H26" s="70">
        <f>Financing!H37</f>
        <v>0</v>
      </c>
      <c r="I26" s="205">
        <f>Financing!I37</f>
        <v>0</v>
      </c>
      <c r="J26" s="281"/>
      <c r="K26" s="204">
        <f>Financing!K37</f>
        <v>0</v>
      </c>
      <c r="L26" s="70">
        <f>Financing!L37</f>
        <v>500000</v>
      </c>
      <c r="M26" s="70">
        <f>Financing!M37</f>
        <v>0</v>
      </c>
      <c r="N26" s="205">
        <f>Financing!N37</f>
        <v>0</v>
      </c>
      <c r="P26" s="199"/>
      <c r="Q26" s="84" t="str">
        <f t="shared" si="5"/>
        <v>Equity Funding</v>
      </c>
      <c r="R26" s="204">
        <f t="shared" si="6"/>
        <v>2500000</v>
      </c>
      <c r="S26" s="70">
        <f t="shared" si="7"/>
        <v>0</v>
      </c>
      <c r="T26" s="70">
        <f t="shared" si="8"/>
        <v>0</v>
      </c>
      <c r="U26" s="70">
        <f t="shared" si="9"/>
        <v>500000</v>
      </c>
      <c r="V26" s="70">
        <f t="shared" si="10"/>
        <v>0</v>
      </c>
      <c r="W26" s="205">
        <f t="shared" si="11"/>
        <v>0</v>
      </c>
      <c r="X26" s="200"/>
      <c r="Z26" s="199"/>
      <c r="AA26" s="36" t="str">
        <f>A33</f>
        <v>Ending Cash Balance</v>
      </c>
      <c r="AB26" s="206">
        <f>E33</f>
        <v>2051600</v>
      </c>
      <c r="AC26" s="71">
        <f>I33</f>
        <v>867628.49315068487</v>
      </c>
      <c r="AD26" s="71">
        <f>K33</f>
        <v>55169.135029353085</v>
      </c>
      <c r="AE26" s="71">
        <f>L33</f>
        <v>381531.19345400913</v>
      </c>
      <c r="AF26" s="71">
        <f>M33</f>
        <v>786947.22164647456</v>
      </c>
      <c r="AG26" s="207">
        <f>N33</f>
        <v>1837581.9932079422</v>
      </c>
      <c r="AH26" s="200"/>
    </row>
    <row r="27" spans="1:34" ht="15.75" thickTop="1" x14ac:dyDescent="0.25">
      <c r="A27" s="84" t="s">
        <v>111</v>
      </c>
      <c r="B27" s="204">
        <f>Financing!B49</f>
        <v>0</v>
      </c>
      <c r="C27" s="70">
        <f>Financing!C49</f>
        <v>0</v>
      </c>
      <c r="D27" s="70">
        <f>Financing!D49</f>
        <v>0</v>
      </c>
      <c r="E27" s="70">
        <f>Financing!E49</f>
        <v>0</v>
      </c>
      <c r="F27" s="70">
        <f>Financing!F49</f>
        <v>0</v>
      </c>
      <c r="G27" s="70">
        <f>Financing!G49</f>
        <v>0</v>
      </c>
      <c r="H27" s="70">
        <f>Financing!H49</f>
        <v>0</v>
      </c>
      <c r="I27" s="205">
        <f>Financing!I49</f>
        <v>0</v>
      </c>
      <c r="J27" s="281"/>
      <c r="K27" s="204">
        <f>Financing!K49</f>
        <v>0</v>
      </c>
      <c r="L27" s="70">
        <f>Financing!L49</f>
        <v>0</v>
      </c>
      <c r="M27" s="70">
        <f>Financing!M49</f>
        <v>0</v>
      </c>
      <c r="N27" s="205">
        <f>Financing!N49</f>
        <v>0</v>
      </c>
      <c r="P27" s="199"/>
      <c r="Q27" s="84" t="str">
        <f t="shared" si="5"/>
        <v>Change in Debt</v>
      </c>
      <c r="R27" s="204">
        <f t="shared" si="6"/>
        <v>0</v>
      </c>
      <c r="S27" s="70">
        <f t="shared" si="7"/>
        <v>0</v>
      </c>
      <c r="T27" s="70">
        <f t="shared" si="8"/>
        <v>0</v>
      </c>
      <c r="U27" s="70">
        <f t="shared" si="9"/>
        <v>0</v>
      </c>
      <c r="V27" s="70">
        <f t="shared" si="10"/>
        <v>0</v>
      </c>
      <c r="W27" s="205">
        <f t="shared" si="11"/>
        <v>0</v>
      </c>
      <c r="X27" s="200"/>
      <c r="Z27" s="199"/>
      <c r="AH27" s="200"/>
    </row>
    <row r="28" spans="1:34" ht="15.75" thickBot="1" x14ac:dyDescent="0.3">
      <c r="A28" s="85" t="s">
        <v>110</v>
      </c>
      <c r="B28" s="206">
        <f>Financing!B62*-1</f>
        <v>0</v>
      </c>
      <c r="C28" s="71">
        <f>Financing!C62*-1</f>
        <v>0</v>
      </c>
      <c r="D28" s="71">
        <f>Financing!D62*-1</f>
        <v>0</v>
      </c>
      <c r="E28" s="71">
        <f>Financing!E62*-1</f>
        <v>0</v>
      </c>
      <c r="F28" s="71">
        <f>Financing!F62*-1</f>
        <v>0</v>
      </c>
      <c r="G28" s="71">
        <f>Financing!G62*-1</f>
        <v>0</v>
      </c>
      <c r="H28" s="71">
        <f>Financing!H62*-1</f>
        <v>0</v>
      </c>
      <c r="I28" s="207">
        <f>Financing!I62*-1</f>
        <v>0</v>
      </c>
      <c r="J28" s="281"/>
      <c r="K28" s="206">
        <f>Financing!K62*-1</f>
        <v>0</v>
      </c>
      <c r="L28" s="71">
        <f>Financing!L62*-1</f>
        <v>0</v>
      </c>
      <c r="M28" s="71">
        <f>Financing!M62*-1</f>
        <v>0</v>
      </c>
      <c r="N28" s="207">
        <f>Financing!N62*-1</f>
        <v>0</v>
      </c>
      <c r="P28" s="199"/>
      <c r="Q28" s="85" t="str">
        <f t="shared" si="5"/>
        <v>Interest Payments</v>
      </c>
      <c r="R28" s="206">
        <f t="shared" si="6"/>
        <v>0</v>
      </c>
      <c r="S28" s="71">
        <f t="shared" si="7"/>
        <v>0</v>
      </c>
      <c r="T28" s="71">
        <f t="shared" si="8"/>
        <v>0</v>
      </c>
      <c r="U28" s="71">
        <f t="shared" si="9"/>
        <v>0</v>
      </c>
      <c r="V28" s="71">
        <f t="shared" si="10"/>
        <v>0</v>
      </c>
      <c r="W28" s="207">
        <f t="shared" si="11"/>
        <v>0</v>
      </c>
      <c r="X28" s="200"/>
      <c r="Z28" s="199"/>
      <c r="AH28" s="200"/>
    </row>
    <row r="29" spans="1:34" s="26" customFormat="1" ht="15.75" thickTop="1" x14ac:dyDescent="0.25">
      <c r="A29" s="73" t="s">
        <v>112</v>
      </c>
      <c r="B29" s="217">
        <f>SUM(B26:B28)</f>
        <v>500000</v>
      </c>
      <c r="C29" s="218">
        <f t="shared" ref="C29:N29" si="15">SUM(C26:C28)</f>
        <v>2000000</v>
      </c>
      <c r="D29" s="218">
        <f t="shared" si="15"/>
        <v>0</v>
      </c>
      <c r="E29" s="218">
        <f t="shared" si="15"/>
        <v>0</v>
      </c>
      <c r="F29" s="218">
        <f t="shared" si="15"/>
        <v>0</v>
      </c>
      <c r="G29" s="218">
        <f t="shared" si="15"/>
        <v>0</v>
      </c>
      <c r="H29" s="218">
        <f t="shared" si="15"/>
        <v>0</v>
      </c>
      <c r="I29" s="219">
        <f t="shared" si="15"/>
        <v>0</v>
      </c>
      <c r="J29" s="281"/>
      <c r="K29" s="217">
        <f t="shared" si="15"/>
        <v>0</v>
      </c>
      <c r="L29" s="218">
        <f t="shared" si="15"/>
        <v>500000</v>
      </c>
      <c r="M29" s="218">
        <f t="shared" si="15"/>
        <v>0</v>
      </c>
      <c r="N29" s="219">
        <f t="shared" si="15"/>
        <v>0</v>
      </c>
      <c r="P29" s="199"/>
      <c r="Q29" s="73" t="str">
        <f t="shared" si="5"/>
        <v>Total Financing</v>
      </c>
      <c r="R29" s="217">
        <f t="shared" si="6"/>
        <v>2500000</v>
      </c>
      <c r="S29" s="218">
        <f t="shared" si="7"/>
        <v>0</v>
      </c>
      <c r="T29" s="218">
        <f t="shared" si="8"/>
        <v>0</v>
      </c>
      <c r="U29" s="218">
        <f t="shared" si="9"/>
        <v>500000</v>
      </c>
      <c r="V29" s="218">
        <f t="shared" si="10"/>
        <v>0</v>
      </c>
      <c r="W29" s="219">
        <f t="shared" si="11"/>
        <v>0</v>
      </c>
      <c r="X29" s="200"/>
      <c r="Z29" s="199"/>
      <c r="AA29"/>
      <c r="AB29"/>
      <c r="AC29"/>
      <c r="AD29"/>
      <c r="AE29"/>
      <c r="AF29"/>
      <c r="AG29"/>
      <c r="AH29" s="200"/>
    </row>
    <row r="30" spans="1:34" ht="15.75" thickBot="1" x14ac:dyDescent="0.3">
      <c r="B30" s="199"/>
      <c r="I30" s="200"/>
      <c r="J30" s="281"/>
      <c r="K30" s="199"/>
      <c r="N30" s="200"/>
      <c r="P30" s="199"/>
      <c r="R30" s="199"/>
      <c r="W30" s="200"/>
      <c r="X30" s="200"/>
      <c r="Z30" s="199"/>
      <c r="AH30" s="200"/>
    </row>
    <row r="31" spans="1:34" ht="16.5" thickTop="1" thickBot="1" x14ac:dyDescent="0.3">
      <c r="A31" s="78" t="s">
        <v>113</v>
      </c>
      <c r="B31" s="211">
        <f>SUM(B18,B23,B29)</f>
        <v>416000</v>
      </c>
      <c r="C31" s="79">
        <f t="shared" ref="C31:N31" si="16">SUM(C18,C23,C29)</f>
        <v>1916000</v>
      </c>
      <c r="D31" s="79">
        <f t="shared" si="16"/>
        <v>-117800</v>
      </c>
      <c r="E31" s="79">
        <f t="shared" si="16"/>
        <v>-162600</v>
      </c>
      <c r="F31" s="79">
        <f t="shared" si="16"/>
        <v>-687651.50684931513</v>
      </c>
      <c r="G31" s="79">
        <f t="shared" si="16"/>
        <v>-104065.00000000012</v>
      </c>
      <c r="H31" s="79">
        <f t="shared" si="16"/>
        <v>-177240.00000000012</v>
      </c>
      <c r="I31" s="212">
        <f t="shared" si="16"/>
        <v>-215015.00000000012</v>
      </c>
      <c r="J31" s="281"/>
      <c r="K31" s="211">
        <f t="shared" si="16"/>
        <v>-812459.35812133178</v>
      </c>
      <c r="L31" s="79">
        <f t="shared" si="16"/>
        <v>326362.05842465605</v>
      </c>
      <c r="M31" s="79">
        <f t="shared" si="16"/>
        <v>405416.02819246543</v>
      </c>
      <c r="N31" s="212">
        <f t="shared" si="16"/>
        <v>1050634.7715614676</v>
      </c>
      <c r="P31" s="199"/>
      <c r="Q31" s="78" t="str">
        <f t="shared" si="5"/>
        <v>Cash Flow</v>
      </c>
      <c r="R31" s="211">
        <f>SUM(B31:E31)</f>
        <v>2051600</v>
      </c>
      <c r="S31" s="79">
        <f>SUM(F31:I31)</f>
        <v>-1183971.5068493155</v>
      </c>
      <c r="T31" s="79">
        <f t="shared" si="8"/>
        <v>-812459.35812133178</v>
      </c>
      <c r="U31" s="79">
        <f t="shared" si="9"/>
        <v>326362.05842465605</v>
      </c>
      <c r="V31" s="79">
        <f t="shared" si="10"/>
        <v>405416.02819246543</v>
      </c>
      <c r="W31" s="212">
        <f t="shared" si="11"/>
        <v>1050634.7715614676</v>
      </c>
      <c r="X31" s="200"/>
      <c r="Z31" s="199"/>
      <c r="AH31" s="200"/>
    </row>
    <row r="32" spans="1:34" ht="15.75" thickTop="1" x14ac:dyDescent="0.25">
      <c r="B32" s="199"/>
      <c r="I32" s="200"/>
      <c r="J32" s="281"/>
      <c r="K32" s="199"/>
      <c r="N32" s="200"/>
      <c r="P32" s="199"/>
      <c r="R32" s="199"/>
      <c r="W32" s="200"/>
      <c r="X32" s="200"/>
      <c r="Z32" s="199"/>
      <c r="AH32" s="200"/>
    </row>
    <row r="33" spans="1:34" x14ac:dyDescent="0.25">
      <c r="A33" s="36" t="s">
        <v>114</v>
      </c>
      <c r="B33" s="204">
        <f t="shared" ref="B33:I33" si="17">B10+B31</f>
        <v>416000</v>
      </c>
      <c r="C33" s="70">
        <f t="shared" si="17"/>
        <v>2332000</v>
      </c>
      <c r="D33" s="70">
        <f t="shared" si="17"/>
        <v>2214200</v>
      </c>
      <c r="E33" s="70">
        <f t="shared" si="17"/>
        <v>2051600</v>
      </c>
      <c r="F33" s="70">
        <f t="shared" si="17"/>
        <v>1363948.493150685</v>
      </c>
      <c r="G33" s="70">
        <f t="shared" si="17"/>
        <v>1259883.493150685</v>
      </c>
      <c r="H33" s="70">
        <f t="shared" si="17"/>
        <v>1082643.493150685</v>
      </c>
      <c r="I33" s="205">
        <f t="shared" si="17"/>
        <v>867628.49315068487</v>
      </c>
      <c r="J33" s="281"/>
      <c r="K33" s="204">
        <f>K10+K31</f>
        <v>55169.135029353085</v>
      </c>
      <c r="L33" s="70">
        <f>L10+L31</f>
        <v>381531.19345400913</v>
      </c>
      <c r="M33" s="70">
        <f>M10+M31</f>
        <v>786947.22164647456</v>
      </c>
      <c r="N33" s="205">
        <f>N10+N31</f>
        <v>1837581.9932079422</v>
      </c>
      <c r="P33" s="199"/>
      <c r="Q33" s="36" t="str">
        <f t="shared" si="5"/>
        <v>Ending Cash Balance</v>
      </c>
      <c r="R33" s="204">
        <f>E33</f>
        <v>2051600</v>
      </c>
      <c r="S33" s="70">
        <f>I33</f>
        <v>867628.49315068487</v>
      </c>
      <c r="T33" s="70">
        <f>K33</f>
        <v>55169.135029353085</v>
      </c>
      <c r="U33" s="70">
        <f t="shared" si="9"/>
        <v>381531.19345400913</v>
      </c>
      <c r="V33" s="70">
        <f t="shared" si="10"/>
        <v>786947.22164647456</v>
      </c>
      <c r="W33" s="205">
        <f t="shared" si="11"/>
        <v>1837581.9932079422</v>
      </c>
      <c r="X33" s="200"/>
      <c r="Z33" s="199"/>
      <c r="AH33" s="200"/>
    </row>
    <row r="34" spans="1:34" ht="15.75" thickBot="1" x14ac:dyDescent="0.3">
      <c r="P34" s="136"/>
      <c r="Q34" s="137"/>
      <c r="R34" s="137"/>
      <c r="S34" s="137"/>
      <c r="T34" s="137"/>
      <c r="U34" s="137"/>
      <c r="V34" s="137"/>
      <c r="W34" s="137"/>
      <c r="X34" s="138"/>
      <c r="Z34" s="199"/>
      <c r="AH34" s="200"/>
    </row>
    <row r="35" spans="1:34" ht="15.75" thickTop="1" x14ac:dyDescent="0.25">
      <c r="Z35" s="199"/>
      <c r="AH35" s="200"/>
    </row>
    <row r="36" spans="1:34" x14ac:dyDescent="0.25">
      <c r="Z36" s="199"/>
      <c r="AH36" s="200"/>
    </row>
    <row r="37" spans="1:34" x14ac:dyDescent="0.25">
      <c r="Z37" s="199"/>
      <c r="AH37" s="200"/>
    </row>
    <row r="38" spans="1:34" x14ac:dyDescent="0.25">
      <c r="A38" t="s">
        <v>202</v>
      </c>
      <c r="Z38" s="199"/>
      <c r="AH38" s="200"/>
    </row>
    <row r="39" spans="1:34" x14ac:dyDescent="0.25">
      <c r="A39" t="s">
        <v>203</v>
      </c>
      <c r="B39" s="270">
        <f>B8</f>
        <v>43831</v>
      </c>
      <c r="C39" s="270">
        <f t="shared" ref="C39:I39" si="18">C8-1</f>
        <v>43921</v>
      </c>
      <c r="D39" s="270">
        <f t="shared" si="18"/>
        <v>44012</v>
      </c>
      <c r="E39" s="270">
        <f t="shared" si="18"/>
        <v>44104</v>
      </c>
      <c r="F39" s="270">
        <f t="shared" si="18"/>
        <v>44196</v>
      </c>
      <c r="G39" s="270">
        <f t="shared" si="18"/>
        <v>44286</v>
      </c>
      <c r="H39" s="270">
        <f t="shared" si="18"/>
        <v>44377</v>
      </c>
      <c r="I39" s="270">
        <f t="shared" si="18"/>
        <v>44469</v>
      </c>
      <c r="J39" s="270"/>
      <c r="K39" s="270">
        <f>K8-1</f>
        <v>44561</v>
      </c>
      <c r="L39" s="270">
        <f>L8-1</f>
        <v>44926</v>
      </c>
      <c r="M39" s="270">
        <f>M8-1</f>
        <v>45291</v>
      </c>
      <c r="N39" s="270">
        <f>N8-1</f>
        <v>45657</v>
      </c>
      <c r="O39" s="270">
        <f t="shared" ref="O39" si="19">EDATE(N39,12)</f>
        <v>46022</v>
      </c>
      <c r="Z39" s="199"/>
      <c r="AH39" s="200"/>
    </row>
    <row r="40" spans="1:34" x14ac:dyDescent="0.25">
      <c r="A40" t="s">
        <v>114</v>
      </c>
      <c r="B40" s="271">
        <f>B10</f>
        <v>0</v>
      </c>
      <c r="C40" s="271">
        <f>B33</f>
        <v>416000</v>
      </c>
      <c r="D40" s="271">
        <f t="shared" ref="D40:O40" si="20">C33</f>
        <v>2332000</v>
      </c>
      <c r="E40" s="271">
        <f t="shared" si="20"/>
        <v>2214200</v>
      </c>
      <c r="F40" s="271">
        <f t="shared" si="20"/>
        <v>2051600</v>
      </c>
      <c r="G40" s="271">
        <f t="shared" si="20"/>
        <v>1363948.493150685</v>
      </c>
      <c r="H40" s="271">
        <f t="shared" si="20"/>
        <v>1259883.493150685</v>
      </c>
      <c r="I40" s="271">
        <f>H33</f>
        <v>1082643.493150685</v>
      </c>
      <c r="J40" s="271"/>
      <c r="K40" s="271">
        <f>I33</f>
        <v>867628.49315068487</v>
      </c>
      <c r="L40" s="271">
        <f t="shared" si="20"/>
        <v>55169.135029353085</v>
      </c>
      <c r="M40" s="271">
        <f t="shared" si="20"/>
        <v>381531.19345400913</v>
      </c>
      <c r="N40" s="271">
        <f t="shared" si="20"/>
        <v>786947.22164647456</v>
      </c>
      <c r="O40" s="271">
        <f t="shared" si="20"/>
        <v>1837581.9932079422</v>
      </c>
      <c r="Z40" s="199"/>
      <c r="AH40" s="200"/>
    </row>
    <row r="41" spans="1:34" x14ac:dyDescent="0.25">
      <c r="Z41" s="199"/>
      <c r="AH41" s="200"/>
    </row>
    <row r="42" spans="1:34" x14ac:dyDescent="0.25">
      <c r="Z42" s="199"/>
      <c r="AH42" s="200"/>
    </row>
    <row r="43" spans="1:34" x14ac:dyDescent="0.25">
      <c r="Z43" s="199"/>
      <c r="AH43" s="200"/>
    </row>
    <row r="44" spans="1:34" x14ac:dyDescent="0.25">
      <c r="Z44" s="199"/>
      <c r="AH44" s="200"/>
    </row>
    <row r="45" spans="1:34" ht="15.75" thickBot="1" x14ac:dyDescent="0.3">
      <c r="Z45" s="136"/>
      <c r="AA45" s="137"/>
      <c r="AB45" s="137"/>
      <c r="AC45" s="137"/>
      <c r="AD45" s="137"/>
      <c r="AE45" s="137"/>
      <c r="AF45" s="137"/>
      <c r="AG45" s="137"/>
      <c r="AH45" s="138"/>
    </row>
    <row r="46" spans="1:34" ht="15.75" thickTop="1" x14ac:dyDescent="0.25">
      <c r="Z46" s="258"/>
      <c r="AA46" s="259"/>
      <c r="AB46" s="259"/>
      <c r="AC46" s="259"/>
      <c r="AD46" s="259"/>
      <c r="AE46" s="259"/>
      <c r="AF46" s="259"/>
      <c r="AG46" s="259"/>
      <c r="AH46" s="255"/>
    </row>
    <row r="47" spans="1:34" ht="17.25" x14ac:dyDescent="0.3">
      <c r="Z47" s="199"/>
      <c r="AA47" s="253" t="s">
        <v>253</v>
      </c>
      <c r="AH47" s="200"/>
    </row>
    <row r="48" spans="1:34" x14ac:dyDescent="0.25">
      <c r="Z48" s="199"/>
      <c r="AH48" s="200"/>
    </row>
    <row r="49" spans="26:34" x14ac:dyDescent="0.25">
      <c r="Z49" s="199"/>
      <c r="AB49" s="329" t="s">
        <v>200</v>
      </c>
      <c r="AC49" s="330"/>
      <c r="AD49" s="330"/>
      <c r="AE49" s="330"/>
      <c r="AF49" s="330"/>
      <c r="AG49" s="331"/>
      <c r="AH49" s="200"/>
    </row>
    <row r="50" spans="26:34" x14ac:dyDescent="0.25">
      <c r="Z50" s="199"/>
      <c r="AB50" s="97" t="s">
        <v>193</v>
      </c>
      <c r="AC50" s="98" t="s">
        <v>194</v>
      </c>
      <c r="AD50" s="98" t="s">
        <v>135</v>
      </c>
      <c r="AE50" s="98" t="s">
        <v>136</v>
      </c>
      <c r="AF50" s="98" t="s">
        <v>137</v>
      </c>
      <c r="AG50" s="99" t="s">
        <v>225</v>
      </c>
      <c r="AH50" s="200"/>
    </row>
    <row r="51" spans="26:34" x14ac:dyDescent="0.25">
      <c r="Z51" s="199"/>
      <c r="AB51" s="93">
        <f>R8</f>
        <v>43831</v>
      </c>
      <c r="AC51" s="52">
        <f t="shared" ref="AC51:AG51" si="21">S8</f>
        <v>44197</v>
      </c>
      <c r="AD51" s="52">
        <f t="shared" si="21"/>
        <v>44562</v>
      </c>
      <c r="AE51" s="52">
        <f t="shared" si="21"/>
        <v>44927</v>
      </c>
      <c r="AF51" s="52">
        <f t="shared" si="21"/>
        <v>45292</v>
      </c>
      <c r="AG51" s="96">
        <f t="shared" si="21"/>
        <v>45658</v>
      </c>
      <c r="AH51" s="200"/>
    </row>
    <row r="52" spans="26:34" x14ac:dyDescent="0.25">
      <c r="Z52" s="199"/>
      <c r="AA52" s="36" t="str">
        <f>A31</f>
        <v>Cash Flow</v>
      </c>
      <c r="AB52" s="204">
        <f>R18+R23</f>
        <v>-448400</v>
      </c>
      <c r="AC52" s="70">
        <f>S18+S23</f>
        <v>-1183971.5068493155</v>
      </c>
      <c r="AD52" s="70">
        <f>T18+T23</f>
        <v>-812459.35812133178</v>
      </c>
      <c r="AE52" s="70">
        <f>U18+U23</f>
        <v>-173637.94157534395</v>
      </c>
      <c r="AF52" s="70">
        <f t="shared" ref="AF52:AG52" si="22">V18+V23</f>
        <v>405416.02819246543</v>
      </c>
      <c r="AG52" s="205">
        <f t="shared" si="22"/>
        <v>1050634.7715614676</v>
      </c>
      <c r="AH52" s="200"/>
    </row>
    <row r="53" spans="26:34" ht="15.75" thickBot="1" x14ac:dyDescent="0.3">
      <c r="Z53" s="199"/>
      <c r="AA53" s="36" t="str">
        <f>A33</f>
        <v>Ending Cash Balance</v>
      </c>
      <c r="AB53" s="206">
        <f>AB52</f>
        <v>-448400</v>
      </c>
      <c r="AC53" s="71">
        <f>AB53+AC52</f>
        <v>-1632371.5068493155</v>
      </c>
      <c r="AD53" s="71">
        <f t="shared" ref="AD53:AG53" si="23">AC53+AD52</f>
        <v>-2444830.8649706473</v>
      </c>
      <c r="AE53" s="71">
        <f t="shared" si="23"/>
        <v>-2618468.8065459915</v>
      </c>
      <c r="AF53" s="71">
        <f t="shared" si="23"/>
        <v>-2213052.7783535263</v>
      </c>
      <c r="AG53" s="207">
        <f t="shared" si="23"/>
        <v>-1162418.0067920587</v>
      </c>
      <c r="AH53" s="200"/>
    </row>
    <row r="54" spans="26:34" ht="15.75" thickTop="1" x14ac:dyDescent="0.25">
      <c r="Z54" s="199"/>
      <c r="AH54" s="200"/>
    </row>
    <row r="55" spans="26:34" x14ac:dyDescent="0.25">
      <c r="Z55" s="199"/>
      <c r="AH55" s="200"/>
    </row>
    <row r="56" spans="26:34" x14ac:dyDescent="0.25">
      <c r="Z56" s="199"/>
      <c r="AH56" s="200"/>
    </row>
    <row r="57" spans="26:34" x14ac:dyDescent="0.25">
      <c r="Z57" s="199"/>
      <c r="AH57" s="200"/>
    </row>
    <row r="58" spans="26:34" x14ac:dyDescent="0.25">
      <c r="Z58" s="199"/>
      <c r="AH58" s="200"/>
    </row>
    <row r="59" spans="26:34" x14ac:dyDescent="0.25">
      <c r="Z59" s="199"/>
      <c r="AH59" s="200"/>
    </row>
    <row r="60" spans="26:34" x14ac:dyDescent="0.25">
      <c r="Z60" s="199"/>
      <c r="AH60" s="200"/>
    </row>
    <row r="61" spans="26:34" x14ac:dyDescent="0.25">
      <c r="Z61" s="199"/>
      <c r="AH61" s="200"/>
    </row>
    <row r="62" spans="26:34" x14ac:dyDescent="0.25">
      <c r="Z62" s="199"/>
      <c r="AH62" s="200"/>
    </row>
    <row r="63" spans="26:34" x14ac:dyDescent="0.25">
      <c r="Z63" s="199"/>
      <c r="AH63" s="200"/>
    </row>
    <row r="64" spans="26:34" x14ac:dyDescent="0.25">
      <c r="Z64" s="199"/>
      <c r="AH64" s="200"/>
    </row>
    <row r="65" spans="26:34" x14ac:dyDescent="0.25">
      <c r="Z65" s="199"/>
      <c r="AH65" s="200"/>
    </row>
    <row r="66" spans="26:34" x14ac:dyDescent="0.25">
      <c r="Z66" s="199"/>
      <c r="AH66" s="200"/>
    </row>
    <row r="67" spans="26:34" x14ac:dyDescent="0.25">
      <c r="Z67" s="199"/>
      <c r="AH67" s="200"/>
    </row>
    <row r="68" spans="26:34" x14ac:dyDescent="0.25">
      <c r="Z68" s="199"/>
      <c r="AH68" s="200"/>
    </row>
    <row r="69" spans="26:34" x14ac:dyDescent="0.25">
      <c r="Z69" s="199"/>
      <c r="AH69" s="200"/>
    </row>
    <row r="70" spans="26:34" x14ac:dyDescent="0.25">
      <c r="Z70" s="199"/>
      <c r="AH70" s="200"/>
    </row>
    <row r="71" spans="26:34" x14ac:dyDescent="0.25">
      <c r="Z71" s="199"/>
      <c r="AH71" s="200"/>
    </row>
    <row r="72" spans="26:34" ht="15.75" thickBot="1" x14ac:dyDescent="0.3">
      <c r="Z72" s="136"/>
      <c r="AA72" s="137"/>
      <c r="AB72" s="137"/>
      <c r="AC72" s="137"/>
      <c r="AD72" s="137"/>
      <c r="AE72" s="137"/>
      <c r="AF72" s="137"/>
      <c r="AG72" s="137"/>
      <c r="AH72" s="138"/>
    </row>
    <row r="73" spans="26:34" ht="15.75" thickTop="1" x14ac:dyDescent="0.25"/>
  </sheetData>
  <mergeCells count="7">
    <mergeCell ref="AB49:AG49"/>
    <mergeCell ref="AB22:AG22"/>
    <mergeCell ref="R6:W6"/>
    <mergeCell ref="B6:I6"/>
    <mergeCell ref="K6:N6"/>
    <mergeCell ref="B7:E7"/>
    <mergeCell ref="F7:I7"/>
  </mergeCells>
  <conditionalFormatting sqref="B10:I10 K10:N10">
    <cfRule type="cellIs" dxfId="41" priority="30" operator="lessThan">
      <formula>0</formula>
    </cfRule>
  </conditionalFormatting>
  <conditionalFormatting sqref="B13:I18 K13:N18">
    <cfRule type="cellIs" dxfId="40" priority="27" operator="lessThan">
      <formula>0</formula>
    </cfRule>
  </conditionalFormatting>
  <conditionalFormatting sqref="B21:I23 K21:N23">
    <cfRule type="cellIs" dxfId="39" priority="25" operator="lessThan">
      <formula>0</formula>
    </cfRule>
  </conditionalFormatting>
  <conditionalFormatting sqref="B26:I29 K26:N29">
    <cfRule type="cellIs" dxfId="38" priority="26" operator="lessThan">
      <formula>0</formula>
    </cfRule>
  </conditionalFormatting>
  <conditionalFormatting sqref="B31:I31 K31:N31">
    <cfRule type="cellIs" dxfId="37" priority="32" operator="lessThan">
      <formula>0</formula>
    </cfRule>
  </conditionalFormatting>
  <conditionalFormatting sqref="B33:I33 K33:N33">
    <cfRule type="cellIs" dxfId="36" priority="28" operator="greaterThan">
      <formula>0</formula>
    </cfRule>
    <cfRule type="cellIs" dxfId="35" priority="29" operator="lessThan">
      <formula>0</formula>
    </cfRule>
    <cfRule type="cellIs" dxfId="34" priority="31" operator="lessThan">
      <formula>0</formula>
    </cfRule>
  </conditionalFormatting>
  <conditionalFormatting sqref="R10:W10">
    <cfRule type="cellIs" dxfId="33" priority="7" operator="lessThan">
      <formula>0</formula>
    </cfRule>
  </conditionalFormatting>
  <conditionalFormatting sqref="R13:W18">
    <cfRule type="cellIs" dxfId="32" priority="4" operator="lessThan">
      <formula>0</formula>
    </cfRule>
  </conditionalFormatting>
  <conditionalFormatting sqref="R21:W23">
    <cfRule type="cellIs" dxfId="31" priority="2" operator="lessThan">
      <formula>0</formula>
    </cfRule>
  </conditionalFormatting>
  <conditionalFormatting sqref="R26:W29">
    <cfRule type="cellIs" dxfId="30" priority="3" operator="lessThan">
      <formula>0</formula>
    </cfRule>
  </conditionalFormatting>
  <conditionalFormatting sqref="R31:W31">
    <cfRule type="cellIs" dxfId="29" priority="9" operator="lessThan">
      <formula>0</formula>
    </cfRule>
  </conditionalFormatting>
  <conditionalFormatting sqref="R33:W33">
    <cfRule type="cellIs" dxfId="28" priority="5" operator="greaterThan">
      <formula>0</formula>
    </cfRule>
    <cfRule type="cellIs" dxfId="27" priority="6" operator="lessThan">
      <formula>0</formula>
    </cfRule>
    <cfRule type="cellIs" dxfId="26" priority="8" operator="lessThan">
      <formula>0</formula>
    </cfRule>
  </conditionalFormatting>
  <conditionalFormatting sqref="AB25:AG26">
    <cfRule type="cellIs" dxfId="25" priority="24" operator="lessThan">
      <formula>0</formula>
    </cfRule>
  </conditionalFormatting>
  <conditionalFormatting sqref="AB52:AG53">
    <cfRule type="cellIs" dxfId="24" priority="1" operator="lessThan">
      <formula>0</formula>
    </cfRule>
  </conditionalFormatting>
  <pageMargins left="0.7" right="0.7" top="0.75" bottom="0.75" header="0.3" footer="0.3"/>
  <pageSetup paperSize="5" scale="37" fitToHeight="0" orientation="landscape" r:id="rId1"/>
  <ignoredErrors>
    <ignoredError sqref="R22:S22" formulaRange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X27"/>
  <sheetViews>
    <sheetView topLeftCell="B1" workbookViewId="0">
      <selection activeCell="R13" sqref="R13:W13"/>
    </sheetView>
  </sheetViews>
  <sheetFormatPr defaultColWidth="8.85546875" defaultRowHeight="15" x14ac:dyDescent="0.25"/>
  <cols>
    <col min="1" max="1" width="34.42578125" bestFit="1" customWidth="1"/>
    <col min="2" max="9" width="11.85546875" customWidth="1"/>
    <col min="10" max="10" width="7.85546875" customWidth="1"/>
    <col min="11" max="14" width="11.85546875" customWidth="1"/>
    <col min="15" max="15" width="10" customWidth="1"/>
    <col min="16" max="16" width="3.85546875" customWidth="1"/>
    <col min="17" max="17" width="26.42578125" customWidth="1"/>
    <col min="18" max="23" width="11.85546875" customWidth="1"/>
    <col min="24" max="24" width="3.85546875" customWidth="1"/>
  </cols>
  <sheetData>
    <row r="1" spans="1:24" ht="24.75" thickTop="1" thickBot="1" x14ac:dyDescent="0.4">
      <c r="A1" s="33" t="s">
        <v>237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33" t="str">
        <f>CompanyName &amp;" Annual Income Statement"</f>
        <v>WorkHorse Inc. Annual Income Statement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"All Values in "&amp;SubHeader</f>
        <v>All Values in USD</v>
      </c>
      <c r="C2" s="28"/>
      <c r="D2" s="28"/>
      <c r="P2" s="199"/>
      <c r="X2" s="200"/>
    </row>
    <row r="3" spans="1:24" ht="17.25" x14ac:dyDescent="0.3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/>
      <c r="X3" s="200"/>
    </row>
    <row r="4" spans="1:24" ht="15" customHeight="1" x14ac:dyDescent="0.3"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Q4" s="253" t="s">
        <v>199</v>
      </c>
      <c r="X4" s="200"/>
    </row>
    <row r="5" spans="1:24" ht="19.5" x14ac:dyDescent="0.3">
      <c r="A5" s="35" t="s">
        <v>237</v>
      </c>
      <c r="P5" s="256"/>
      <c r="X5" s="257"/>
    </row>
    <row r="6" spans="1:24" ht="15" customHeight="1" x14ac:dyDescent="0.25">
      <c r="A6" s="31"/>
      <c r="B6" s="306" t="s">
        <v>161</v>
      </c>
      <c r="C6" s="307"/>
      <c r="D6" s="307"/>
      <c r="E6" s="307"/>
      <c r="F6" s="307"/>
      <c r="G6" s="307"/>
      <c r="H6" s="307"/>
      <c r="I6" s="308"/>
      <c r="J6" s="281"/>
      <c r="K6" s="309" t="s">
        <v>162</v>
      </c>
      <c r="L6" s="310"/>
      <c r="M6" s="310"/>
      <c r="N6" s="311"/>
      <c r="P6" s="199"/>
      <c r="R6" s="329" t="s">
        <v>200</v>
      </c>
      <c r="S6" s="330"/>
      <c r="T6" s="330"/>
      <c r="U6" s="330"/>
      <c r="V6" s="330"/>
      <c r="W6" s="331"/>
      <c r="X6" s="200"/>
    </row>
    <row r="7" spans="1:24" ht="15" customHeight="1" x14ac:dyDescent="0.25">
      <c r="A7" s="31"/>
      <c r="B7" s="312" t="s">
        <v>193</v>
      </c>
      <c r="C7" s="313"/>
      <c r="D7" s="313"/>
      <c r="E7" s="314"/>
      <c r="F7" s="315" t="s">
        <v>194</v>
      </c>
      <c r="G7" s="313"/>
      <c r="H7" s="313"/>
      <c r="I7" s="316"/>
      <c r="J7" s="281"/>
      <c r="K7" s="97" t="s">
        <v>135</v>
      </c>
      <c r="L7" s="98" t="s">
        <v>136</v>
      </c>
      <c r="M7" s="98" t="s">
        <v>137</v>
      </c>
      <c r="N7" s="99" t="s">
        <v>225</v>
      </c>
      <c r="P7" s="199"/>
      <c r="R7" s="97" t="s">
        <v>193</v>
      </c>
      <c r="S7" s="98" t="s">
        <v>194</v>
      </c>
      <c r="T7" s="98" t="s">
        <v>135</v>
      </c>
      <c r="U7" s="98" t="s">
        <v>136</v>
      </c>
      <c r="V7" s="98" t="s">
        <v>137</v>
      </c>
      <c r="W7" s="99" t="s">
        <v>225</v>
      </c>
      <c r="X7" s="200"/>
    </row>
    <row r="8" spans="1:24" ht="15" customHeight="1" x14ac:dyDescent="0.25">
      <c r="A8" s="51"/>
      <c r="B8" s="93">
        <f>StartDate</f>
        <v>43831</v>
      </c>
      <c r="C8" s="52">
        <f>EDATE(B8,3)</f>
        <v>43922</v>
      </c>
      <c r="D8" s="52">
        <f t="shared" ref="D8:I8" si="0">EDATE(C8,3)</f>
        <v>44013</v>
      </c>
      <c r="E8" s="52">
        <f t="shared" si="0"/>
        <v>44105</v>
      </c>
      <c r="F8" s="52">
        <f t="shared" si="0"/>
        <v>44197</v>
      </c>
      <c r="G8" s="52">
        <f t="shared" si="0"/>
        <v>44287</v>
      </c>
      <c r="H8" s="52">
        <f t="shared" si="0"/>
        <v>44378</v>
      </c>
      <c r="I8" s="89">
        <f t="shared" si="0"/>
        <v>44470</v>
      </c>
      <c r="J8" s="281"/>
      <c r="K8" s="93">
        <f>EDATE(I8,3)</f>
        <v>44562</v>
      </c>
      <c r="L8" s="52">
        <f t="shared" ref="L8:N8" si="1">EDATE(K8,12)</f>
        <v>44927</v>
      </c>
      <c r="M8" s="52">
        <f t="shared" si="1"/>
        <v>45292</v>
      </c>
      <c r="N8" s="96">
        <f t="shared" si="1"/>
        <v>45658</v>
      </c>
      <c r="P8" s="199"/>
      <c r="R8" s="93">
        <f>B8</f>
        <v>43831</v>
      </c>
      <c r="S8" s="52">
        <f>F8</f>
        <v>44197</v>
      </c>
      <c r="T8" s="52">
        <f>K8</f>
        <v>44562</v>
      </c>
      <c r="U8" s="52">
        <f t="shared" ref="U8:W8" si="2">L8</f>
        <v>44927</v>
      </c>
      <c r="V8" s="52">
        <f t="shared" si="2"/>
        <v>45292</v>
      </c>
      <c r="W8" s="96">
        <f t="shared" si="2"/>
        <v>45658</v>
      </c>
      <c r="X8" s="200"/>
    </row>
    <row r="9" spans="1:24" ht="15" customHeight="1" x14ac:dyDescent="0.25">
      <c r="B9" s="195"/>
      <c r="C9" s="29"/>
      <c r="D9" s="29"/>
      <c r="E9" s="29"/>
      <c r="F9" s="29"/>
      <c r="G9" s="29"/>
      <c r="H9" s="30"/>
      <c r="I9" s="196"/>
      <c r="J9" s="281"/>
      <c r="K9" s="213"/>
      <c r="L9" s="30"/>
      <c r="M9" s="30"/>
      <c r="N9" s="196"/>
      <c r="P9" s="199"/>
      <c r="Q9" s="36"/>
      <c r="R9" s="213"/>
      <c r="S9" s="30"/>
      <c r="T9" s="30"/>
      <c r="U9" s="30"/>
      <c r="V9" s="30"/>
      <c r="W9" s="196"/>
      <c r="X9" s="200"/>
    </row>
    <row r="10" spans="1:24" x14ac:dyDescent="0.25">
      <c r="A10" s="36" t="s">
        <v>49</v>
      </c>
      <c r="B10" s="204">
        <f>Revenues!B19</f>
        <v>0</v>
      </c>
      <c r="C10" s="70">
        <f>Revenues!C19</f>
        <v>0</v>
      </c>
      <c r="D10" s="70">
        <f>Revenues!D19</f>
        <v>0</v>
      </c>
      <c r="E10" s="70">
        <f>Revenues!E19</f>
        <v>0</v>
      </c>
      <c r="F10" s="70">
        <f>Revenues!F19</f>
        <v>578549.99999999988</v>
      </c>
      <c r="G10" s="70">
        <f>Revenues!G19</f>
        <v>578549.99999999988</v>
      </c>
      <c r="H10" s="70">
        <f>Revenues!H19</f>
        <v>578549.99999999988</v>
      </c>
      <c r="I10" s="205">
        <f>Revenues!I19</f>
        <v>578549.99999999988</v>
      </c>
      <c r="J10" s="281"/>
      <c r="K10" s="204">
        <f>Revenues!K19</f>
        <v>7592399.9999999991</v>
      </c>
      <c r="L10" s="70">
        <f>Revenues!L19</f>
        <v>12870600</v>
      </c>
      <c r="M10" s="70">
        <f>Revenues!M19</f>
        <v>21112800</v>
      </c>
      <c r="N10" s="205">
        <f>Revenues!N19</f>
        <v>35283000</v>
      </c>
      <c r="P10" s="199"/>
      <c r="Q10" s="36" t="str">
        <f>A10</f>
        <v>Revenues</v>
      </c>
      <c r="R10" s="204">
        <f>SUM(B10:E10)</f>
        <v>0</v>
      </c>
      <c r="S10" s="70">
        <f>SUM(F10:I10)</f>
        <v>2314199.9999999995</v>
      </c>
      <c r="T10" s="70">
        <f>K10</f>
        <v>7592399.9999999991</v>
      </c>
      <c r="U10" s="70">
        <f t="shared" ref="U10:W10" si="3">L10</f>
        <v>12870600</v>
      </c>
      <c r="V10" s="70">
        <f t="shared" si="3"/>
        <v>21112800</v>
      </c>
      <c r="W10" s="205">
        <f t="shared" si="3"/>
        <v>35283000</v>
      </c>
      <c r="X10" s="200"/>
    </row>
    <row r="11" spans="1:24" ht="15.75" thickBot="1" x14ac:dyDescent="0.3">
      <c r="A11" s="66" t="s">
        <v>45</v>
      </c>
      <c r="B11" s="206">
        <f>'Total Expenses'!B9*-1</f>
        <v>0</v>
      </c>
      <c r="C11" s="71">
        <f>'Total Expenses'!C9*-1</f>
        <v>0</v>
      </c>
      <c r="D11" s="71">
        <f>'Total Expenses'!D9*-1</f>
        <v>0</v>
      </c>
      <c r="E11" s="71">
        <f>'Total Expenses'!E9*-1</f>
        <v>0</v>
      </c>
      <c r="F11" s="71">
        <f>'Total Expenses'!F9*-1</f>
        <v>-231140</v>
      </c>
      <c r="G11" s="71">
        <f>'Total Expenses'!G9*-1</f>
        <v>-231140</v>
      </c>
      <c r="H11" s="71">
        <f>'Total Expenses'!H9*-1</f>
        <v>-231140</v>
      </c>
      <c r="I11" s="207">
        <f>'Total Expenses'!I9*-1</f>
        <v>-231140</v>
      </c>
      <c r="J11" s="281"/>
      <c r="K11" s="206">
        <f>'Total Expenses'!K9*-1</f>
        <v>-3621196.8000000007</v>
      </c>
      <c r="L11" s="71">
        <f>'Total Expenses'!L9*-1</f>
        <v>-6532085.2480000006</v>
      </c>
      <c r="M11" s="71">
        <f>'Total Expenses'!M9*-1</f>
        <v>-11506728.796160001</v>
      </c>
      <c r="N11" s="207">
        <f>'Total Expenses'!N9*-1</f>
        <v>-20689182.605312005</v>
      </c>
      <c r="P11" s="199"/>
      <c r="Q11" s="36" t="str">
        <f t="shared" ref="Q11:Q25" si="4">A11</f>
        <v>COGS</v>
      </c>
      <c r="R11" s="206">
        <f t="shared" ref="R11:R25" si="5">SUM(B11:E11)</f>
        <v>0</v>
      </c>
      <c r="S11" s="71">
        <f t="shared" ref="S11:S25" si="6">SUM(F11:I11)</f>
        <v>-924560</v>
      </c>
      <c r="T11" s="71">
        <f t="shared" ref="T11:T25" si="7">K11</f>
        <v>-3621196.8000000007</v>
      </c>
      <c r="U11" s="71">
        <f t="shared" ref="U11:U25" si="8">L11</f>
        <v>-6532085.2480000006</v>
      </c>
      <c r="V11" s="71">
        <f t="shared" ref="V11:V25" si="9">M11</f>
        <v>-11506728.796160001</v>
      </c>
      <c r="W11" s="207">
        <f t="shared" ref="W11:W25" si="10">N11</f>
        <v>-20689182.605312005</v>
      </c>
      <c r="X11" s="200"/>
    </row>
    <row r="12" spans="1:24" s="26" customFormat="1" ht="15.75" thickTop="1" x14ac:dyDescent="0.25">
      <c r="A12" s="72" t="s">
        <v>97</v>
      </c>
      <c r="B12" s="208">
        <f>SUM(B10:B11)</f>
        <v>0</v>
      </c>
      <c r="C12" s="209">
        <f t="shared" ref="C12:N12" si="11">SUM(C10:C11)</f>
        <v>0</v>
      </c>
      <c r="D12" s="209">
        <f t="shared" si="11"/>
        <v>0</v>
      </c>
      <c r="E12" s="209">
        <f t="shared" si="11"/>
        <v>0</v>
      </c>
      <c r="F12" s="209">
        <f t="shared" si="11"/>
        <v>347409.99999999988</v>
      </c>
      <c r="G12" s="209">
        <f t="shared" si="11"/>
        <v>347409.99999999988</v>
      </c>
      <c r="H12" s="209">
        <f t="shared" si="11"/>
        <v>347409.99999999988</v>
      </c>
      <c r="I12" s="210">
        <f t="shared" si="11"/>
        <v>347409.99999999988</v>
      </c>
      <c r="J12" s="281"/>
      <c r="K12" s="208">
        <f t="shared" si="11"/>
        <v>3971203.1999999983</v>
      </c>
      <c r="L12" s="209">
        <f t="shared" si="11"/>
        <v>6338514.7519999994</v>
      </c>
      <c r="M12" s="209">
        <f t="shared" si="11"/>
        <v>9606071.2038399987</v>
      </c>
      <c r="N12" s="210">
        <f t="shared" si="11"/>
        <v>14593817.394687995</v>
      </c>
      <c r="P12" s="199"/>
      <c r="Q12" s="36" t="str">
        <f t="shared" si="4"/>
        <v>Gross Profit</v>
      </c>
      <c r="R12" s="208">
        <f t="shared" si="5"/>
        <v>0</v>
      </c>
      <c r="S12" s="209">
        <f t="shared" si="6"/>
        <v>1389639.9999999995</v>
      </c>
      <c r="T12" s="209">
        <f t="shared" si="7"/>
        <v>3971203.1999999983</v>
      </c>
      <c r="U12" s="209">
        <f t="shared" si="8"/>
        <v>6338514.7519999994</v>
      </c>
      <c r="V12" s="209">
        <f t="shared" si="9"/>
        <v>9606071.2038399987</v>
      </c>
      <c r="W12" s="210">
        <f t="shared" si="10"/>
        <v>14593817.394687995</v>
      </c>
      <c r="X12" s="200"/>
    </row>
    <row r="13" spans="1:24" s="26" customFormat="1" x14ac:dyDescent="0.25">
      <c r="A13" s="72" t="s">
        <v>98</v>
      </c>
      <c r="B13" s="214">
        <f>IF(B12&gt;0,B12/B10,0)</f>
        <v>0</v>
      </c>
      <c r="C13" s="215">
        <f t="shared" ref="C13:N13" si="12">IF(C12&gt;0,C12/C10,0)</f>
        <v>0</v>
      </c>
      <c r="D13" s="215">
        <f t="shared" si="12"/>
        <v>0</v>
      </c>
      <c r="E13" s="215">
        <f t="shared" si="12"/>
        <v>0</v>
      </c>
      <c r="F13" s="215">
        <f t="shared" si="12"/>
        <v>0.60048396854204467</v>
      </c>
      <c r="G13" s="215">
        <f t="shared" si="12"/>
        <v>0.60048396854204467</v>
      </c>
      <c r="H13" s="215">
        <f t="shared" si="12"/>
        <v>0.60048396854204467</v>
      </c>
      <c r="I13" s="216">
        <f t="shared" si="12"/>
        <v>0.60048396854204467</v>
      </c>
      <c r="J13" s="281"/>
      <c r="K13" s="214">
        <f t="shared" si="12"/>
        <v>0.5230497866287338</v>
      </c>
      <c r="L13" s="215">
        <f t="shared" si="12"/>
        <v>0.49248012928690188</v>
      </c>
      <c r="M13" s="215">
        <f t="shared" si="12"/>
        <v>0.45498802640294034</v>
      </c>
      <c r="N13" s="216">
        <f t="shared" si="12"/>
        <v>0.41362178371136227</v>
      </c>
      <c r="P13" s="199"/>
      <c r="Q13" t="str">
        <f t="shared" si="4"/>
        <v>Gross Margin</v>
      </c>
      <c r="R13" s="214">
        <f t="shared" ref="R13:S13" si="13">IF(R12&gt;0,R12/R10,0)</f>
        <v>0</v>
      </c>
      <c r="S13" s="215">
        <f t="shared" si="13"/>
        <v>0.60048396854204467</v>
      </c>
      <c r="T13" s="215">
        <f t="shared" si="7"/>
        <v>0.5230497866287338</v>
      </c>
      <c r="U13" s="215">
        <f t="shared" si="8"/>
        <v>0.49248012928690188</v>
      </c>
      <c r="V13" s="215">
        <f t="shared" si="9"/>
        <v>0.45498802640294034</v>
      </c>
      <c r="W13" s="216">
        <f t="shared" si="10"/>
        <v>0.41362178371136227</v>
      </c>
      <c r="X13" s="200"/>
    </row>
    <row r="14" spans="1:24" x14ac:dyDescent="0.25">
      <c r="B14" s="199"/>
      <c r="I14" s="200"/>
      <c r="J14" s="281"/>
      <c r="K14" s="199"/>
      <c r="N14" s="200"/>
      <c r="P14" s="199"/>
      <c r="R14" s="199"/>
      <c r="W14" s="200"/>
      <c r="X14" s="200"/>
    </row>
    <row r="15" spans="1:24" ht="15.75" thickBot="1" x14ac:dyDescent="0.3">
      <c r="A15" s="36" t="s">
        <v>224</v>
      </c>
      <c r="B15" s="204">
        <f>'Total Expenses'!B10*-1</f>
        <v>-84000</v>
      </c>
      <c r="C15" s="70">
        <f>'Total Expenses'!C10*-1</f>
        <v>-84000</v>
      </c>
      <c r="D15" s="70">
        <f>'Total Expenses'!D10*-1</f>
        <v>-111800</v>
      </c>
      <c r="E15" s="70">
        <f>'Total Expenses'!E10*-1</f>
        <v>-139600</v>
      </c>
      <c r="F15" s="70">
        <f>'Total Expenses'!F10*-1</f>
        <v>-350450</v>
      </c>
      <c r="G15" s="70">
        <f>'Total Expenses'!G10*-1</f>
        <v>-416475</v>
      </c>
      <c r="H15" s="70">
        <f>'Total Expenses'!H10*-1</f>
        <v>-461650</v>
      </c>
      <c r="I15" s="205">
        <f>'Total Expenses'!I10*-1</f>
        <v>-562425</v>
      </c>
      <c r="J15" s="281"/>
      <c r="K15" s="204">
        <f>'Total Expenses'!K10*-1</f>
        <v>-2879620</v>
      </c>
      <c r="L15" s="70">
        <f>'Total Expenses'!L10*-1</f>
        <v>-4344664.5</v>
      </c>
      <c r="M15" s="70">
        <f>'Total Expenses'!M10*-1</f>
        <v>-5546435.8250000002</v>
      </c>
      <c r="N15" s="205">
        <f>'Total Expenses'!N10*-1</f>
        <v>-6976264.0137499999</v>
      </c>
      <c r="P15" s="199"/>
      <c r="Q15" t="str">
        <f t="shared" si="4"/>
        <v>Operting Expenses</v>
      </c>
      <c r="R15" s="204">
        <f t="shared" si="5"/>
        <v>-419400</v>
      </c>
      <c r="S15" s="70">
        <f t="shared" si="6"/>
        <v>-1791000</v>
      </c>
      <c r="T15" s="70">
        <f>K15</f>
        <v>-2879620</v>
      </c>
      <c r="U15" s="70">
        <f t="shared" si="8"/>
        <v>-4344664.5</v>
      </c>
      <c r="V15" s="70">
        <f t="shared" si="9"/>
        <v>-5546435.8250000002</v>
      </c>
      <c r="W15" s="205">
        <f t="shared" si="10"/>
        <v>-6976264.0137499999</v>
      </c>
      <c r="X15" s="200"/>
    </row>
    <row r="16" spans="1:24" s="26" customFormat="1" ht="15.75" thickTop="1" x14ac:dyDescent="0.25">
      <c r="A16" s="73" t="s">
        <v>100</v>
      </c>
      <c r="B16" s="217">
        <f>SUM(B12,B15)</f>
        <v>-84000</v>
      </c>
      <c r="C16" s="218">
        <f>SUM(C12,C15)</f>
        <v>-84000</v>
      </c>
      <c r="D16" s="218">
        <f t="shared" ref="D16:H16" si="14">SUM(D12,D15)</f>
        <v>-111800</v>
      </c>
      <c r="E16" s="218">
        <f t="shared" si="14"/>
        <v>-139600</v>
      </c>
      <c r="F16" s="218">
        <f t="shared" si="14"/>
        <v>-3040.0000000001164</v>
      </c>
      <c r="G16" s="218">
        <f t="shared" si="14"/>
        <v>-69065.000000000116</v>
      </c>
      <c r="H16" s="218">
        <f t="shared" si="14"/>
        <v>-114240.00000000012</v>
      </c>
      <c r="I16" s="219">
        <f>SUM(I12,I15)</f>
        <v>-215015.00000000012</v>
      </c>
      <c r="J16" s="281"/>
      <c r="K16" s="217">
        <f>SUM(K12,K15)</f>
        <v>1091583.1999999983</v>
      </c>
      <c r="L16" s="218">
        <f>SUM(L12,L15)</f>
        <v>1993850.2519999994</v>
      </c>
      <c r="M16" s="218">
        <f>SUM(M12,M15)</f>
        <v>4059635.3788399985</v>
      </c>
      <c r="N16" s="219">
        <f>SUM(N12,N15)</f>
        <v>7617553.3809379954</v>
      </c>
      <c r="P16" s="199"/>
      <c r="Q16" t="str">
        <f t="shared" si="4"/>
        <v>EBITDA</v>
      </c>
      <c r="R16" s="217">
        <f t="shared" si="5"/>
        <v>-419400</v>
      </c>
      <c r="S16" s="218">
        <f t="shared" si="6"/>
        <v>-401360.00000000047</v>
      </c>
      <c r="T16" s="218">
        <f t="shared" si="7"/>
        <v>1091583.1999999983</v>
      </c>
      <c r="U16" s="218">
        <f t="shared" si="8"/>
        <v>1993850.2519999994</v>
      </c>
      <c r="V16" s="218">
        <f t="shared" si="9"/>
        <v>4059635.3788399985</v>
      </c>
      <c r="W16" s="219">
        <f t="shared" si="10"/>
        <v>7617553.3809379954</v>
      </c>
      <c r="X16" s="200"/>
    </row>
    <row r="17" spans="1:24" s="26" customFormat="1" x14ac:dyDescent="0.25">
      <c r="A17" s="72"/>
      <c r="B17" s="208"/>
      <c r="C17" s="209"/>
      <c r="D17" s="209"/>
      <c r="E17" s="209"/>
      <c r="F17" s="209"/>
      <c r="G17" s="209"/>
      <c r="H17" s="209"/>
      <c r="I17" s="210"/>
      <c r="J17" s="281"/>
      <c r="K17" s="208"/>
      <c r="L17" s="209"/>
      <c r="M17" s="209"/>
      <c r="N17" s="210"/>
      <c r="P17" s="199"/>
      <c r="Q17"/>
      <c r="R17" s="208"/>
      <c r="S17" s="209"/>
      <c r="T17" s="209"/>
      <c r="U17" s="209"/>
      <c r="V17" s="209"/>
      <c r="W17" s="210"/>
      <c r="X17" s="200"/>
    </row>
    <row r="18" spans="1:24" ht="15.75" thickBot="1" x14ac:dyDescent="0.3">
      <c r="A18" s="66" t="s">
        <v>210</v>
      </c>
      <c r="B18" s="206">
        <f>'Total Expenses'!B11*-1</f>
        <v>0</v>
      </c>
      <c r="C18" s="71">
        <f>'Total Expenses'!C11*-1</f>
        <v>0</v>
      </c>
      <c r="D18" s="71">
        <f>'Total Expenses'!D11*-1</f>
        <v>-214.28571428571428</v>
      </c>
      <c r="E18" s="71">
        <f>'Total Expenses'!E11*-1</f>
        <v>-1197.6190476190477</v>
      </c>
      <c r="F18" s="71">
        <f>'Total Expenses'!F11*-1</f>
        <v>-1197.6190476190477</v>
      </c>
      <c r="G18" s="71">
        <f>'Total Expenses'!G11*-1</f>
        <v>-2947.6190476190477</v>
      </c>
      <c r="H18" s="71">
        <f>'Total Expenses'!H11*-1</f>
        <v>-5639.2857142857138</v>
      </c>
      <c r="I18" s="207">
        <f>'Total Expenses'!I11*-1</f>
        <v>-5639.2857142857138</v>
      </c>
      <c r="J18" s="281"/>
      <c r="K18" s="206">
        <f>'Total Expenses'!K11*-1</f>
        <v>-23157.142857142855</v>
      </c>
      <c r="L18" s="71">
        <f>'Total Expenses'!L11*-1</f>
        <v>-25299.999999999996</v>
      </c>
      <c r="M18" s="71">
        <f>'Total Expenses'!M11*-1</f>
        <v>-25299.999999999996</v>
      </c>
      <c r="N18" s="207">
        <f>'Total Expenses'!N11*-1</f>
        <v>-34300</v>
      </c>
      <c r="P18" s="199"/>
      <c r="Q18" t="str">
        <f t="shared" si="4"/>
        <v>Depreciation/Amortisation</v>
      </c>
      <c r="R18" s="206">
        <f t="shared" si="5"/>
        <v>-1411.9047619047619</v>
      </c>
      <c r="S18" s="71">
        <f t="shared" si="6"/>
        <v>-15423.809523809523</v>
      </c>
      <c r="T18" s="71">
        <f t="shared" si="7"/>
        <v>-23157.142857142855</v>
      </c>
      <c r="U18" s="71">
        <f t="shared" si="8"/>
        <v>-25299.999999999996</v>
      </c>
      <c r="V18" s="71">
        <f t="shared" si="9"/>
        <v>-25299.999999999996</v>
      </c>
      <c r="W18" s="207">
        <f t="shared" si="10"/>
        <v>-34300</v>
      </c>
      <c r="X18" s="200"/>
    </row>
    <row r="19" spans="1:24" ht="15.75" thickTop="1" x14ac:dyDescent="0.25">
      <c r="A19" s="73" t="s">
        <v>117</v>
      </c>
      <c r="B19" s="217">
        <f>SUM(B16,B18)</f>
        <v>-84000</v>
      </c>
      <c r="C19" s="218">
        <f t="shared" ref="C19:N19" si="15">SUM(C16,C18)</f>
        <v>-84000</v>
      </c>
      <c r="D19" s="218">
        <f t="shared" si="15"/>
        <v>-112014.28571428571</v>
      </c>
      <c r="E19" s="218">
        <f t="shared" si="15"/>
        <v>-140797.61904761905</v>
      </c>
      <c r="F19" s="218">
        <f t="shared" si="15"/>
        <v>-4237.6190476191641</v>
      </c>
      <c r="G19" s="218">
        <f t="shared" si="15"/>
        <v>-72012.61904761917</v>
      </c>
      <c r="H19" s="218">
        <f t="shared" si="15"/>
        <v>-119879.28571428583</v>
      </c>
      <c r="I19" s="219">
        <f t="shared" si="15"/>
        <v>-220654.28571428583</v>
      </c>
      <c r="J19" s="281"/>
      <c r="K19" s="217">
        <f t="shared" si="15"/>
        <v>1068426.0571428554</v>
      </c>
      <c r="L19" s="218">
        <f t="shared" si="15"/>
        <v>1968550.2519999994</v>
      </c>
      <c r="M19" s="218">
        <f t="shared" si="15"/>
        <v>4034335.3788399985</v>
      </c>
      <c r="N19" s="219">
        <f t="shared" si="15"/>
        <v>7583253.3809379954</v>
      </c>
      <c r="P19" s="199"/>
      <c r="Q19" t="str">
        <f t="shared" si="4"/>
        <v>Operating Profit (EBIT)</v>
      </c>
      <c r="R19" s="217">
        <f t="shared" si="5"/>
        <v>-420811.90476190473</v>
      </c>
      <c r="S19" s="218">
        <f t="shared" si="6"/>
        <v>-416783.80952380999</v>
      </c>
      <c r="T19" s="218">
        <f t="shared" si="7"/>
        <v>1068426.0571428554</v>
      </c>
      <c r="U19" s="218">
        <f t="shared" si="8"/>
        <v>1968550.2519999994</v>
      </c>
      <c r="V19" s="218">
        <f t="shared" si="9"/>
        <v>4034335.3788399985</v>
      </c>
      <c r="W19" s="219">
        <f t="shared" si="10"/>
        <v>7583253.3809379954</v>
      </c>
      <c r="X19" s="200"/>
    </row>
    <row r="20" spans="1:24" x14ac:dyDescent="0.25">
      <c r="B20" s="199"/>
      <c r="I20" s="200"/>
      <c r="J20" s="281"/>
      <c r="K20" s="199"/>
      <c r="N20" s="200"/>
      <c r="P20" s="199"/>
      <c r="R20" s="199"/>
      <c r="W20" s="200"/>
      <c r="X20" s="200"/>
    </row>
    <row r="21" spans="1:24" ht="15.75" thickBot="1" x14ac:dyDescent="0.3">
      <c r="A21" s="66" t="s">
        <v>115</v>
      </c>
      <c r="B21" s="206">
        <f>Financing!B62*-1</f>
        <v>0</v>
      </c>
      <c r="C21" s="71">
        <f>Financing!C62*-1</f>
        <v>0</v>
      </c>
      <c r="D21" s="71">
        <f>Financing!D62*-1</f>
        <v>0</v>
      </c>
      <c r="E21" s="71">
        <f>Financing!E62*-1</f>
        <v>0</v>
      </c>
      <c r="F21" s="71">
        <f>Financing!F62*-1</f>
        <v>0</v>
      </c>
      <c r="G21" s="71">
        <f>Financing!G62*-1</f>
        <v>0</v>
      </c>
      <c r="H21" s="71">
        <f>Financing!H62*-1</f>
        <v>0</v>
      </c>
      <c r="I21" s="207">
        <f>Financing!I62*-1</f>
        <v>0</v>
      </c>
      <c r="J21" s="281"/>
      <c r="K21" s="206">
        <f>Financing!K62*-1</f>
        <v>0</v>
      </c>
      <c r="L21" s="71">
        <f>Financing!L62*-1</f>
        <v>0</v>
      </c>
      <c r="M21" s="71">
        <f>Financing!M62*-1</f>
        <v>0</v>
      </c>
      <c r="N21" s="207">
        <f>Financing!N62*-1</f>
        <v>0</v>
      </c>
      <c r="P21" s="199"/>
      <c r="Q21" t="str">
        <f t="shared" si="4"/>
        <v>Financing Expenses</v>
      </c>
      <c r="R21" s="206">
        <f t="shared" si="5"/>
        <v>0</v>
      </c>
      <c r="S21" s="71">
        <f t="shared" si="6"/>
        <v>0</v>
      </c>
      <c r="T21" s="71">
        <f t="shared" si="7"/>
        <v>0</v>
      </c>
      <c r="U21" s="71">
        <f t="shared" si="8"/>
        <v>0</v>
      </c>
      <c r="V21" s="71">
        <f t="shared" si="9"/>
        <v>0</v>
      </c>
      <c r="W21" s="207">
        <f t="shared" si="10"/>
        <v>0</v>
      </c>
      <c r="X21" s="200"/>
    </row>
    <row r="22" spans="1:24" s="26" customFormat="1" ht="15.75" thickTop="1" x14ac:dyDescent="0.25">
      <c r="A22" s="73" t="s">
        <v>116</v>
      </c>
      <c r="B22" s="217">
        <f>SUM(B19,B21)</f>
        <v>-84000</v>
      </c>
      <c r="C22" s="218">
        <f t="shared" ref="C22" si="16">SUM(C19,C21)</f>
        <v>-84000</v>
      </c>
      <c r="D22" s="218">
        <f t="shared" ref="D22" si="17">SUM(D19,D21)</f>
        <v>-112014.28571428571</v>
      </c>
      <c r="E22" s="218">
        <f t="shared" ref="E22" si="18">SUM(E19,E21)</f>
        <v>-140797.61904761905</v>
      </c>
      <c r="F22" s="218">
        <f t="shared" ref="F22" si="19">SUM(F19,F21)</f>
        <v>-4237.6190476191641</v>
      </c>
      <c r="G22" s="218">
        <f t="shared" ref="G22" si="20">SUM(G19,G21)</f>
        <v>-72012.61904761917</v>
      </c>
      <c r="H22" s="218">
        <f t="shared" ref="H22" si="21">SUM(H19,H21)</f>
        <v>-119879.28571428583</v>
      </c>
      <c r="I22" s="219">
        <f t="shared" ref="I22" si="22">SUM(I19,I21)</f>
        <v>-220654.28571428583</v>
      </c>
      <c r="J22" s="281"/>
      <c r="K22" s="217">
        <f t="shared" ref="K22" si="23">SUM(K19,K21)</f>
        <v>1068426.0571428554</v>
      </c>
      <c r="L22" s="218">
        <f t="shared" ref="L22" si="24">SUM(L19,L21)</f>
        <v>1968550.2519999994</v>
      </c>
      <c r="M22" s="218">
        <f t="shared" ref="M22" si="25">SUM(M19,M21)</f>
        <v>4034335.3788399985</v>
      </c>
      <c r="N22" s="219">
        <f t="shared" ref="N22" si="26">SUM(N19,N21)</f>
        <v>7583253.3809379954</v>
      </c>
      <c r="P22" s="199"/>
      <c r="Q22" t="str">
        <f t="shared" si="4"/>
        <v>Profit before Tax</v>
      </c>
      <c r="R22" s="217">
        <f t="shared" si="5"/>
        <v>-420811.90476190473</v>
      </c>
      <c r="S22" s="218">
        <f t="shared" si="6"/>
        <v>-416783.80952380999</v>
      </c>
      <c r="T22" s="218">
        <f t="shared" si="7"/>
        <v>1068426.0571428554</v>
      </c>
      <c r="U22" s="218">
        <f t="shared" si="8"/>
        <v>1968550.2519999994</v>
      </c>
      <c r="V22" s="218">
        <f t="shared" si="9"/>
        <v>4034335.3788399985</v>
      </c>
      <c r="W22" s="219">
        <f t="shared" si="10"/>
        <v>7583253.3809379954</v>
      </c>
      <c r="X22" s="200"/>
    </row>
    <row r="23" spans="1:24" s="26" customFormat="1" x14ac:dyDescent="0.25">
      <c r="A23" s="72"/>
      <c r="B23" s="208"/>
      <c r="C23" s="209"/>
      <c r="D23" s="209"/>
      <c r="E23" s="209"/>
      <c r="F23" s="209"/>
      <c r="G23" s="209"/>
      <c r="H23" s="209"/>
      <c r="I23" s="210"/>
      <c r="J23" s="281"/>
      <c r="K23" s="208"/>
      <c r="L23" s="209"/>
      <c r="M23" s="209"/>
      <c r="N23" s="210"/>
      <c r="P23" s="199"/>
      <c r="Q23"/>
      <c r="R23" s="208"/>
      <c r="S23" s="209"/>
      <c r="T23" s="209"/>
      <c r="U23" s="209"/>
      <c r="V23" s="209"/>
      <c r="W23" s="210"/>
      <c r="X23" s="200"/>
    </row>
    <row r="24" spans="1:24" s="26" customFormat="1" ht="15.75" thickBot="1" x14ac:dyDescent="0.3">
      <c r="A24" s="66" t="s">
        <v>99</v>
      </c>
      <c r="B24" s="206">
        <f>IF(B22/4&gt;'Other Operating Expenses'!$B$32,'Income Statement'!B22*'Other Operating Expenses'!$B$31*-1,0)</f>
        <v>0</v>
      </c>
      <c r="C24" s="71">
        <f>IF(C22/4&gt;'Other Operating Expenses'!$B$32,'Income Statement'!C22*'Other Operating Expenses'!$B$31*-1,0)</f>
        <v>0</v>
      </c>
      <c r="D24" s="71">
        <f>IF(D22/4&gt;'Other Operating Expenses'!$B$32,'Income Statement'!D22*'Other Operating Expenses'!$B$31*-1,0)</f>
        <v>0</v>
      </c>
      <c r="E24" s="71">
        <f>IF(E22/4&gt;'Other Operating Expenses'!$B$32,'Income Statement'!E22*'Other Operating Expenses'!$B$31*-1,0)</f>
        <v>0</v>
      </c>
      <c r="F24" s="71">
        <f>IF(F22/4&gt;'Other Operating Expenses'!$B$32,'Income Statement'!F22*'Other Operating Expenses'!$B$31*-1,0)</f>
        <v>0</v>
      </c>
      <c r="G24" s="71">
        <f>IF(G22/4&gt;'Other Operating Expenses'!$B$32,'Income Statement'!G22*'Other Operating Expenses'!$B$31*-1,0)</f>
        <v>0</v>
      </c>
      <c r="H24" s="71">
        <f>IF(H22/4&gt;'Other Operating Expenses'!$B$32,'Income Statement'!H22*'Other Operating Expenses'!$B$31*-1,0)</f>
        <v>0</v>
      </c>
      <c r="I24" s="207">
        <f>IF(I22/4&gt;'Other Operating Expenses'!$B$32,'Income Statement'!I22*'Other Operating Expenses'!$B$31*-1,0)</f>
        <v>0</v>
      </c>
      <c r="J24" s="281"/>
      <c r="K24" s="206">
        <f>IF(K22&gt;'Other Operating Expenses'!$B$32,'Income Statement'!K22*'Other Operating Expenses'!$B$31*-1,0)</f>
        <v>-267106.51428571384</v>
      </c>
      <c r="L24" s="71">
        <f>IF(L22&gt;'Other Operating Expenses'!$B$32,'Income Statement'!L22*'Other Operating Expenses'!$B$31*-1,0)</f>
        <v>-492137.56299999985</v>
      </c>
      <c r="M24" s="71">
        <f>IF(M22&gt;'Other Operating Expenses'!$B$32,'Income Statement'!M22*'Other Operating Expenses'!$B$31*-1,0)</f>
        <v>-1008583.8447099996</v>
      </c>
      <c r="N24" s="207">
        <f>IF(N22&gt;'Other Operating Expenses'!$B$32,'Income Statement'!N22*'Other Operating Expenses'!$B$31*-1,0)</f>
        <v>-1895813.3452344988</v>
      </c>
      <c r="P24" s="199"/>
      <c r="Q24" t="str">
        <f t="shared" si="4"/>
        <v>Taxes</v>
      </c>
      <c r="R24" s="206">
        <f t="shared" si="5"/>
        <v>0</v>
      </c>
      <c r="S24" s="71">
        <f t="shared" si="6"/>
        <v>0</v>
      </c>
      <c r="T24" s="71">
        <f t="shared" si="7"/>
        <v>-267106.51428571384</v>
      </c>
      <c r="U24" s="71">
        <f t="shared" si="8"/>
        <v>-492137.56299999985</v>
      </c>
      <c r="V24" s="71">
        <f t="shared" si="9"/>
        <v>-1008583.8447099996</v>
      </c>
      <c r="W24" s="207">
        <f t="shared" si="10"/>
        <v>-1895813.3452344988</v>
      </c>
      <c r="X24" s="200"/>
    </row>
    <row r="25" spans="1:24" ht="15.75" thickTop="1" x14ac:dyDescent="0.25">
      <c r="A25" s="73" t="s">
        <v>118</v>
      </c>
      <c r="B25" s="217">
        <f>SUM(B22,B24)</f>
        <v>-84000</v>
      </c>
      <c r="C25" s="218">
        <f t="shared" ref="C25" si="27">SUM(C22,C24)</f>
        <v>-84000</v>
      </c>
      <c r="D25" s="218">
        <f>SUM(D22,D24)</f>
        <v>-112014.28571428571</v>
      </c>
      <c r="E25" s="218">
        <f t="shared" ref="E25" si="28">SUM(E22,E24)</f>
        <v>-140797.61904761905</v>
      </c>
      <c r="F25" s="218">
        <f t="shared" ref="F25" si="29">SUM(F22,F24)</f>
        <v>-4237.6190476191641</v>
      </c>
      <c r="G25" s="218">
        <f t="shared" ref="G25" si="30">SUM(G22,G24)</f>
        <v>-72012.61904761917</v>
      </c>
      <c r="H25" s="218">
        <f t="shared" ref="H25" si="31">SUM(H22,H24)</f>
        <v>-119879.28571428583</v>
      </c>
      <c r="I25" s="219">
        <f t="shared" ref="I25" si="32">SUM(I22,I24)</f>
        <v>-220654.28571428583</v>
      </c>
      <c r="J25" s="281"/>
      <c r="K25" s="217">
        <f t="shared" ref="K25" si="33">SUM(K22,K24)</f>
        <v>801319.54285714147</v>
      </c>
      <c r="L25" s="218">
        <f t="shared" ref="L25" si="34">SUM(L22,L24)</f>
        <v>1476412.6889999995</v>
      </c>
      <c r="M25" s="218">
        <f t="shared" ref="M25" si="35">SUM(M22,M24)</f>
        <v>3025751.5341299986</v>
      </c>
      <c r="N25" s="219">
        <f t="shared" ref="N25" si="36">SUM(N22,N24)</f>
        <v>5687440.035703497</v>
      </c>
      <c r="P25" s="199"/>
      <c r="Q25" t="str">
        <f t="shared" si="4"/>
        <v>Profit after Tax (Net Income)</v>
      </c>
      <c r="R25" s="217">
        <f t="shared" si="5"/>
        <v>-420811.90476190473</v>
      </c>
      <c r="S25" s="218">
        <f t="shared" si="6"/>
        <v>-416783.80952380999</v>
      </c>
      <c r="T25" s="218">
        <f t="shared" si="7"/>
        <v>801319.54285714147</v>
      </c>
      <c r="U25" s="218">
        <f t="shared" si="8"/>
        <v>1476412.6889999995</v>
      </c>
      <c r="V25" s="218">
        <f t="shared" si="9"/>
        <v>3025751.5341299986</v>
      </c>
      <c r="W25" s="219">
        <f t="shared" si="10"/>
        <v>5687440.035703497</v>
      </c>
      <c r="X25" s="200"/>
    </row>
    <row r="26" spans="1:24" ht="15.75" thickBot="1" x14ac:dyDescent="0.3">
      <c r="P26" s="136"/>
      <c r="Q26" s="137"/>
      <c r="R26" s="137"/>
      <c r="S26" s="137"/>
      <c r="T26" s="137"/>
      <c r="U26" s="137"/>
      <c r="V26" s="137"/>
      <c r="W26" s="137"/>
      <c r="X26" s="138"/>
    </row>
    <row r="27" spans="1:24" ht="15.75" thickTop="1" x14ac:dyDescent="0.25"/>
  </sheetData>
  <mergeCells count="5">
    <mergeCell ref="R6:W6"/>
    <mergeCell ref="B6:I6"/>
    <mergeCell ref="K6:N6"/>
    <mergeCell ref="B7:E7"/>
    <mergeCell ref="F7:I7"/>
  </mergeCells>
  <conditionalFormatting sqref="B10:I13 K10:N13">
    <cfRule type="cellIs" dxfId="23" priority="18" operator="lessThan">
      <formula>0</formula>
    </cfRule>
  </conditionalFormatting>
  <conditionalFormatting sqref="B15:I19 K15:N19">
    <cfRule type="cellIs" dxfId="22" priority="14" operator="lessThan">
      <formula>0</formula>
    </cfRule>
  </conditionalFormatting>
  <conditionalFormatting sqref="B21:I25 K21:N25">
    <cfRule type="cellIs" dxfId="21" priority="12" operator="lessThan">
      <formula>0</formula>
    </cfRule>
  </conditionalFormatting>
  <conditionalFormatting sqref="R10:W13">
    <cfRule type="cellIs" dxfId="20" priority="5" operator="lessThan">
      <formula>0</formula>
    </cfRule>
  </conditionalFormatting>
  <conditionalFormatting sqref="R15:W19">
    <cfRule type="cellIs" dxfId="19" priority="3" operator="lessThan">
      <formula>0</formula>
    </cfRule>
  </conditionalFormatting>
  <conditionalFormatting sqref="R21:W25">
    <cfRule type="cellIs" dxfId="18" priority="1" operator="lessThan">
      <formula>0</formula>
    </cfRule>
  </conditionalFormatting>
  <pageMargins left="0.25" right="0.25" top="0.75" bottom="0.75" header="0.3" footer="0.3"/>
  <pageSetup paperSize="5" scale="5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39997558519241921"/>
    <pageSetUpPr fitToPage="1"/>
  </sheetPr>
  <dimension ref="A1:X25"/>
  <sheetViews>
    <sheetView workbookViewId="0">
      <selection activeCell="AA7" sqref="AA7"/>
    </sheetView>
  </sheetViews>
  <sheetFormatPr defaultColWidth="8.85546875" defaultRowHeight="15" x14ac:dyDescent="0.25"/>
  <cols>
    <col min="1" max="1" width="23.42578125" customWidth="1"/>
    <col min="2" max="9" width="11.85546875" customWidth="1"/>
    <col min="10" max="10" width="7.85546875" customWidth="1"/>
    <col min="11" max="14" width="11.85546875" customWidth="1"/>
    <col min="15" max="15" width="10" customWidth="1"/>
    <col min="16" max="16" width="3.85546875" customWidth="1"/>
    <col min="17" max="17" width="23.28515625" customWidth="1"/>
    <col min="18" max="23" width="12.140625" customWidth="1"/>
    <col min="24" max="24" width="3.85546875" customWidth="1"/>
  </cols>
  <sheetData>
    <row r="1" spans="1:24" ht="24.75" thickTop="1" thickBot="1" x14ac:dyDescent="0.4">
      <c r="A1" s="33" t="s">
        <v>120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P1" s="262"/>
      <c r="Q1" s="33" t="str">
        <f>CompanyName &amp;" Annual Balance Sheet"</f>
        <v>WorkHorse Inc. Annual Balance Sheet</v>
      </c>
      <c r="R1" s="261"/>
      <c r="S1" s="261"/>
      <c r="T1" s="261"/>
      <c r="U1" s="261"/>
      <c r="V1" s="261"/>
      <c r="W1" s="261"/>
      <c r="X1" s="263"/>
    </row>
    <row r="2" spans="1:24" ht="15.75" thickTop="1" x14ac:dyDescent="0.25">
      <c r="A2" s="31" t="str">
        <f>"All Values in "&amp;SubHeader</f>
        <v>All Values in USD</v>
      </c>
      <c r="C2" s="28"/>
      <c r="D2" s="28"/>
      <c r="P2" s="199"/>
      <c r="X2" s="200"/>
    </row>
    <row r="3" spans="1:24" ht="17.25" x14ac:dyDescent="0.3">
      <c r="B3" s="25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P3" s="199"/>
      <c r="Q3" s="253"/>
      <c r="X3" s="200"/>
    </row>
    <row r="4" spans="1:24" ht="15" customHeight="1" x14ac:dyDescent="0.3">
      <c r="B4" s="25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  <c r="N4" s="30"/>
      <c r="P4" s="199"/>
      <c r="Q4" s="253" t="s">
        <v>199</v>
      </c>
      <c r="X4" s="200"/>
    </row>
    <row r="5" spans="1:24" ht="19.5" x14ac:dyDescent="0.3">
      <c r="A5" s="35" t="s">
        <v>120</v>
      </c>
      <c r="P5" s="256"/>
      <c r="X5" s="257"/>
    </row>
    <row r="6" spans="1:24" ht="15" customHeight="1" x14ac:dyDescent="0.25">
      <c r="A6" s="31"/>
      <c r="B6" s="306" t="s">
        <v>164</v>
      </c>
      <c r="C6" s="307"/>
      <c r="D6" s="307"/>
      <c r="E6" s="307"/>
      <c r="F6" s="307"/>
      <c r="G6" s="307"/>
      <c r="H6" s="307"/>
      <c r="I6" s="308"/>
      <c r="J6" s="281"/>
      <c r="K6" s="309" t="s">
        <v>165</v>
      </c>
      <c r="L6" s="310"/>
      <c r="M6" s="310"/>
      <c r="N6" s="311"/>
      <c r="P6" s="199"/>
      <c r="R6" s="329" t="s">
        <v>200</v>
      </c>
      <c r="S6" s="330"/>
      <c r="T6" s="330"/>
      <c r="U6" s="330"/>
      <c r="V6" s="330"/>
      <c r="W6" s="331"/>
      <c r="X6" s="200"/>
    </row>
    <row r="7" spans="1:24" ht="15" customHeight="1" x14ac:dyDescent="0.25">
      <c r="A7" s="31"/>
      <c r="B7" s="312" t="s">
        <v>193</v>
      </c>
      <c r="C7" s="313"/>
      <c r="D7" s="313"/>
      <c r="E7" s="314"/>
      <c r="F7" s="315" t="s">
        <v>194</v>
      </c>
      <c r="G7" s="313"/>
      <c r="H7" s="313"/>
      <c r="I7" s="316"/>
      <c r="J7" s="281"/>
      <c r="K7" s="97" t="s">
        <v>135</v>
      </c>
      <c r="L7" s="98" t="s">
        <v>136</v>
      </c>
      <c r="M7" s="98" t="s">
        <v>137</v>
      </c>
      <c r="N7" s="99" t="s">
        <v>225</v>
      </c>
      <c r="P7" s="199"/>
      <c r="R7" s="97" t="s">
        <v>193</v>
      </c>
      <c r="S7" s="98" t="s">
        <v>194</v>
      </c>
      <c r="T7" s="98" t="s">
        <v>135</v>
      </c>
      <c r="U7" s="98" t="s">
        <v>136</v>
      </c>
      <c r="V7" s="98" t="s">
        <v>137</v>
      </c>
      <c r="W7" s="99" t="s">
        <v>225</v>
      </c>
      <c r="X7" s="200"/>
    </row>
    <row r="8" spans="1:24" ht="15" customHeight="1" x14ac:dyDescent="0.25">
      <c r="A8" s="51"/>
      <c r="B8" s="93">
        <f>StartDate</f>
        <v>43831</v>
      </c>
      <c r="C8" s="52">
        <f>EDATE(B8,3)</f>
        <v>43922</v>
      </c>
      <c r="D8" s="52">
        <f t="shared" ref="D8:I8" si="0">EDATE(C8,3)</f>
        <v>44013</v>
      </c>
      <c r="E8" s="52">
        <f t="shared" si="0"/>
        <v>44105</v>
      </c>
      <c r="F8" s="52">
        <f t="shared" si="0"/>
        <v>44197</v>
      </c>
      <c r="G8" s="52">
        <f t="shared" si="0"/>
        <v>44287</v>
      </c>
      <c r="H8" s="52">
        <f t="shared" si="0"/>
        <v>44378</v>
      </c>
      <c r="I8" s="89">
        <f t="shared" si="0"/>
        <v>44470</v>
      </c>
      <c r="J8" s="281"/>
      <c r="K8" s="93">
        <f>EDATE(I8,3)</f>
        <v>44562</v>
      </c>
      <c r="L8" s="52">
        <f t="shared" ref="L8:N8" si="1">EDATE(K8,12)</f>
        <v>44927</v>
      </c>
      <c r="M8" s="52">
        <f t="shared" si="1"/>
        <v>45292</v>
      </c>
      <c r="N8" s="96">
        <f t="shared" si="1"/>
        <v>45658</v>
      </c>
      <c r="P8" s="199"/>
      <c r="R8" s="93">
        <f>B8</f>
        <v>43831</v>
      </c>
      <c r="S8" s="52">
        <f>F8</f>
        <v>44197</v>
      </c>
      <c r="T8" s="52">
        <f>K8</f>
        <v>44562</v>
      </c>
      <c r="U8" s="52">
        <f t="shared" ref="U8:W8" si="2">L8</f>
        <v>44927</v>
      </c>
      <c r="V8" s="52">
        <f t="shared" si="2"/>
        <v>45292</v>
      </c>
      <c r="W8" s="96">
        <f t="shared" si="2"/>
        <v>45658</v>
      </c>
      <c r="X8" s="200"/>
    </row>
    <row r="9" spans="1:24" x14ac:dyDescent="0.25">
      <c r="B9" s="199"/>
      <c r="I9" s="200"/>
      <c r="J9" s="281"/>
      <c r="K9" s="199"/>
      <c r="N9" s="200"/>
      <c r="P9" s="199"/>
      <c r="Q9" s="36"/>
      <c r="R9" s="213"/>
      <c r="S9" s="30"/>
      <c r="T9" s="30"/>
      <c r="U9" s="30"/>
      <c r="V9" s="30"/>
      <c r="W9" s="196"/>
      <c r="X9" s="200"/>
    </row>
    <row r="10" spans="1:24" x14ac:dyDescent="0.25">
      <c r="A10" s="69" t="s">
        <v>92</v>
      </c>
      <c r="B10" s="201"/>
      <c r="C10" s="202"/>
      <c r="D10" s="202"/>
      <c r="E10" s="202"/>
      <c r="F10" s="202"/>
      <c r="G10" s="202"/>
      <c r="H10" s="202"/>
      <c r="I10" s="203"/>
      <c r="J10" s="281"/>
      <c r="K10" s="201"/>
      <c r="L10" s="202"/>
      <c r="M10" s="202"/>
      <c r="N10" s="203"/>
      <c r="P10" s="199"/>
      <c r="Q10" s="69" t="str">
        <f>A10</f>
        <v>Assets</v>
      </c>
      <c r="R10" s="201"/>
      <c r="S10" s="202"/>
      <c r="T10" s="202"/>
      <c r="U10" s="202"/>
      <c r="V10" s="202"/>
      <c r="W10" s="203"/>
      <c r="X10" s="200"/>
    </row>
    <row r="11" spans="1:24" x14ac:dyDescent="0.25">
      <c r="A11" s="83" t="s">
        <v>93</v>
      </c>
      <c r="B11" s="204">
        <f>'Cash Flow'!B33</f>
        <v>416000</v>
      </c>
      <c r="C11" s="70">
        <f>'Cash Flow'!C33</f>
        <v>2332000</v>
      </c>
      <c r="D11" s="70">
        <f>'Cash Flow'!D33</f>
        <v>2214200</v>
      </c>
      <c r="E11" s="70">
        <f>'Cash Flow'!E33</f>
        <v>2051600</v>
      </c>
      <c r="F11" s="70">
        <f>'Cash Flow'!F33</f>
        <v>1363948.493150685</v>
      </c>
      <c r="G11" s="70">
        <f>'Cash Flow'!G33</f>
        <v>1259883.493150685</v>
      </c>
      <c r="H11" s="70">
        <f>'Cash Flow'!H33</f>
        <v>1082643.493150685</v>
      </c>
      <c r="I11" s="205">
        <f>'Cash Flow'!I33</f>
        <v>867628.49315068487</v>
      </c>
      <c r="J11" s="281"/>
      <c r="K11" s="204">
        <f>'Cash Flow'!K33</f>
        <v>55169.135029353085</v>
      </c>
      <c r="L11" s="70">
        <f>'Cash Flow'!L33</f>
        <v>381531.19345400913</v>
      </c>
      <c r="M11" s="70">
        <f>'Cash Flow'!M33</f>
        <v>786947.22164647456</v>
      </c>
      <c r="N11" s="205">
        <f>'Cash Flow'!N33</f>
        <v>1837581.9932079422</v>
      </c>
      <c r="P11" s="199"/>
      <c r="Q11" s="83" t="str">
        <f t="shared" ref="Q11" si="3">A11</f>
        <v>Cash</v>
      </c>
      <c r="R11" s="204">
        <f>E11</f>
        <v>2051600</v>
      </c>
      <c r="S11" s="70">
        <f>I11</f>
        <v>867628.49315068487</v>
      </c>
      <c r="T11" s="70">
        <f t="shared" ref="T11" si="4">K11</f>
        <v>55169.135029353085</v>
      </c>
      <c r="U11" s="70">
        <f t="shared" ref="U11:W11" si="5">L11</f>
        <v>381531.19345400913</v>
      </c>
      <c r="V11" s="70">
        <f t="shared" si="5"/>
        <v>786947.22164647456</v>
      </c>
      <c r="W11" s="205">
        <f t="shared" si="5"/>
        <v>1837581.9932079422</v>
      </c>
      <c r="X11" s="200"/>
    </row>
    <row r="12" spans="1:24" x14ac:dyDescent="0.25">
      <c r="A12" s="83" t="s">
        <v>94</v>
      </c>
      <c r="B12" s="204">
        <f>'Capital Expenses'!B70</f>
        <v>0</v>
      </c>
      <c r="C12" s="70">
        <f>'Capital Expenses'!C70</f>
        <v>0</v>
      </c>
      <c r="D12" s="70">
        <f>'Capital Expenses'!D70</f>
        <v>6000</v>
      </c>
      <c r="E12" s="70">
        <f>'Capital Expenses'!E70</f>
        <v>28785.714285714286</v>
      </c>
      <c r="F12" s="70">
        <f>'Capital Expenses'!F70</f>
        <v>27588.095238095237</v>
      </c>
      <c r="G12" s="70">
        <f>'Capital Expenses'!G70</f>
        <v>61390.476190476191</v>
      </c>
      <c r="H12" s="70">
        <f>'Capital Expenses'!H70</f>
        <v>121442.85714285714</v>
      </c>
      <c r="I12" s="205">
        <f>'Capital Expenses'!I70</f>
        <v>115803.57142857143</v>
      </c>
      <c r="J12" s="281"/>
      <c r="K12" s="204">
        <f>'Capital Expenses'!K70</f>
        <v>113164.28571428572</v>
      </c>
      <c r="L12" s="70">
        <f>'Capital Expenses'!L70</f>
        <v>105007.14285714287</v>
      </c>
      <c r="M12" s="70">
        <f>'Capital Expenses'!M70</f>
        <v>79707.14285714287</v>
      </c>
      <c r="N12" s="205">
        <f>'Capital Expenses'!N70</f>
        <v>99407.14285714287</v>
      </c>
      <c r="P12" s="199"/>
      <c r="Q12" s="83" t="str">
        <f t="shared" ref="Q12:Q21" si="6">A12</f>
        <v>Fixed Assets</v>
      </c>
      <c r="R12" s="204">
        <f t="shared" ref="R12:R15" si="7">E12</f>
        <v>28785.714285714286</v>
      </c>
      <c r="S12" s="70">
        <f t="shared" ref="S12:S15" si="8">I12</f>
        <v>115803.57142857143</v>
      </c>
      <c r="T12" s="70">
        <f t="shared" ref="T12:T21" si="9">K12</f>
        <v>113164.28571428572</v>
      </c>
      <c r="U12" s="70">
        <f t="shared" ref="U12:U21" si="10">L12</f>
        <v>105007.14285714287</v>
      </c>
      <c r="V12" s="70">
        <f t="shared" ref="V12:V21" si="11">M12</f>
        <v>79707.14285714287</v>
      </c>
      <c r="W12" s="205">
        <f t="shared" ref="W12:W21" si="12">N12</f>
        <v>99407.14285714287</v>
      </c>
      <c r="X12" s="200"/>
    </row>
    <row r="13" spans="1:24" x14ac:dyDescent="0.25">
      <c r="A13" s="83" t="s">
        <v>74</v>
      </c>
      <c r="B13" s="204">
        <f>'Total Expenses'!B11*-1</f>
        <v>0</v>
      </c>
      <c r="C13" s="70">
        <f>'Total Expenses'!C11*-1</f>
        <v>0</v>
      </c>
      <c r="D13" s="70">
        <f>'Total Expenses'!D11*-1</f>
        <v>-214.28571428571428</v>
      </c>
      <c r="E13" s="70">
        <f>'Total Expenses'!E11*-1</f>
        <v>-1197.6190476190477</v>
      </c>
      <c r="F13" s="70">
        <f>'Total Expenses'!F11*-1</f>
        <v>-1197.6190476190477</v>
      </c>
      <c r="G13" s="70">
        <f>'Total Expenses'!G11*-1</f>
        <v>-2947.6190476190477</v>
      </c>
      <c r="H13" s="70">
        <f>'Total Expenses'!H11*-1</f>
        <v>-5639.2857142857138</v>
      </c>
      <c r="I13" s="205">
        <f>'Total Expenses'!I11*-1</f>
        <v>-5639.2857142857138</v>
      </c>
      <c r="J13" s="281"/>
      <c r="K13" s="204">
        <f>'Total Expenses'!K11*-1</f>
        <v>-23157.142857142855</v>
      </c>
      <c r="L13" s="70">
        <f>'Total Expenses'!L11*-1</f>
        <v>-25299.999999999996</v>
      </c>
      <c r="M13" s="70">
        <f>'Total Expenses'!M11*-1</f>
        <v>-25299.999999999996</v>
      </c>
      <c r="N13" s="205">
        <f>'Total Expenses'!N11*-1</f>
        <v>-34300</v>
      </c>
      <c r="P13" s="199"/>
      <c r="Q13" s="83" t="str">
        <f t="shared" si="6"/>
        <v>Depreciation</v>
      </c>
      <c r="R13" s="204">
        <f t="shared" si="7"/>
        <v>-1197.6190476190477</v>
      </c>
      <c r="S13" s="70">
        <f t="shared" si="8"/>
        <v>-5639.2857142857138</v>
      </c>
      <c r="T13" s="70">
        <f t="shared" si="9"/>
        <v>-23157.142857142855</v>
      </c>
      <c r="U13" s="70">
        <f t="shared" si="10"/>
        <v>-25299.999999999996</v>
      </c>
      <c r="V13" s="70">
        <f t="shared" si="11"/>
        <v>-25299.999999999996</v>
      </c>
      <c r="W13" s="205">
        <f t="shared" si="12"/>
        <v>-34300</v>
      </c>
      <c r="X13" s="200"/>
    </row>
    <row r="14" spans="1:24" x14ac:dyDescent="0.25">
      <c r="A14" s="83" t="str">
        <f>'Working Capital'!A27</f>
        <v>Accounts Receivable</v>
      </c>
      <c r="B14" s="204">
        <f>'Working Capital'!B27</f>
        <v>0</v>
      </c>
      <c r="C14" s="70">
        <f>'Working Capital'!C27</f>
        <v>0</v>
      </c>
      <c r="D14" s="70">
        <f>'Working Capital'!D27</f>
        <v>0</v>
      </c>
      <c r="E14" s="70">
        <f>'Working Capital'!E27</f>
        <v>0</v>
      </c>
      <c r="F14" s="70">
        <f>'Working Capital'!F27</f>
        <v>570624.65753424645</v>
      </c>
      <c r="G14" s="70">
        <f>'Working Capital'!G27</f>
        <v>570624.65753424645</v>
      </c>
      <c r="H14" s="70">
        <f>'Working Capital'!H27</f>
        <v>570624.65753424645</v>
      </c>
      <c r="I14" s="205">
        <f>'Working Capital'!I27</f>
        <v>570624.65753424645</v>
      </c>
      <c r="J14" s="281"/>
      <c r="K14" s="204">
        <f>'Working Capital'!K27</f>
        <v>1872098.630136986</v>
      </c>
      <c r="L14" s="70">
        <f>'Working Capital'!L27</f>
        <v>3173572.6027397262</v>
      </c>
      <c r="M14" s="70">
        <f>'Working Capital'!M27</f>
        <v>5205895.8904109588</v>
      </c>
      <c r="N14" s="205">
        <f>'Working Capital'!N27</f>
        <v>8699917.8082191776</v>
      </c>
      <c r="P14" s="199"/>
      <c r="Q14" s="83" t="str">
        <f t="shared" si="6"/>
        <v>Accounts Receivable</v>
      </c>
      <c r="R14" s="204">
        <f t="shared" si="7"/>
        <v>0</v>
      </c>
      <c r="S14" s="70">
        <f t="shared" si="8"/>
        <v>570624.65753424645</v>
      </c>
      <c r="T14" s="70">
        <f t="shared" si="9"/>
        <v>1872098.630136986</v>
      </c>
      <c r="U14" s="70">
        <f t="shared" si="10"/>
        <v>3173572.6027397262</v>
      </c>
      <c r="V14" s="70">
        <f t="shared" si="11"/>
        <v>5205895.8904109588</v>
      </c>
      <c r="W14" s="205">
        <f t="shared" si="12"/>
        <v>8699917.8082191776</v>
      </c>
      <c r="X14" s="200"/>
    </row>
    <row r="15" spans="1:24" ht="15.75" thickBot="1" x14ac:dyDescent="0.3">
      <c r="A15" s="83" t="str">
        <f>'Working Capital'!A28</f>
        <v>Inventories</v>
      </c>
      <c r="B15" s="204">
        <f>'Working Capital'!B28</f>
        <v>0</v>
      </c>
      <c r="C15" s="70">
        <f>'Working Capital'!C28</f>
        <v>0</v>
      </c>
      <c r="D15" s="70">
        <f>'Working Capital'!D28</f>
        <v>0</v>
      </c>
      <c r="E15" s="70">
        <f>'Working Capital'!E28</f>
        <v>0</v>
      </c>
      <c r="F15" s="70">
        <f>'Working Capital'!F28</f>
        <v>151982.46575342465</v>
      </c>
      <c r="G15" s="70">
        <f>'Working Capital'!G28</f>
        <v>151982.46575342465</v>
      </c>
      <c r="H15" s="70">
        <f>'Working Capital'!H28</f>
        <v>151982.46575342465</v>
      </c>
      <c r="I15" s="205">
        <f>'Working Capital'!I28</f>
        <v>151982.46575342465</v>
      </c>
      <c r="J15" s="281"/>
      <c r="K15" s="204">
        <f>'Working Capital'!K28</f>
        <v>595265.22739726049</v>
      </c>
      <c r="L15" s="70">
        <f>'Working Capital'!L28</f>
        <v>1073767.4380273975</v>
      </c>
      <c r="M15" s="70">
        <f>'Working Capital'!M28</f>
        <v>1891517.0623824659</v>
      </c>
      <c r="N15" s="205">
        <f>'Working Capital'!N28</f>
        <v>3400961.5241608778</v>
      </c>
      <c r="P15" s="199"/>
      <c r="Q15" s="83" t="str">
        <f t="shared" si="6"/>
        <v>Inventories</v>
      </c>
      <c r="R15" s="204">
        <f t="shared" si="7"/>
        <v>0</v>
      </c>
      <c r="S15" s="70">
        <f t="shared" si="8"/>
        <v>151982.46575342465</v>
      </c>
      <c r="T15" s="70">
        <f t="shared" si="9"/>
        <v>595265.22739726049</v>
      </c>
      <c r="U15" s="70">
        <f t="shared" si="10"/>
        <v>1073767.4380273975</v>
      </c>
      <c r="V15" s="70">
        <f t="shared" si="11"/>
        <v>1891517.0623824659</v>
      </c>
      <c r="W15" s="205">
        <f t="shared" si="12"/>
        <v>3400961.5241608778</v>
      </c>
      <c r="X15" s="200"/>
    </row>
    <row r="16" spans="1:24" ht="15.75" thickTop="1" x14ac:dyDescent="0.25">
      <c r="A16" s="73" t="s">
        <v>95</v>
      </c>
      <c r="B16" s="217">
        <f>SUM(B11:B15)</f>
        <v>416000</v>
      </c>
      <c r="C16" s="218">
        <f t="shared" ref="C16:N16" si="13">SUM(C11:C15)</f>
        <v>2332000</v>
      </c>
      <c r="D16" s="218">
        <f t="shared" si="13"/>
        <v>2219985.7142857141</v>
      </c>
      <c r="E16" s="218">
        <f t="shared" si="13"/>
        <v>2079188.0952380954</v>
      </c>
      <c r="F16" s="218">
        <f t="shared" si="13"/>
        <v>2112946.092628832</v>
      </c>
      <c r="G16" s="218">
        <f t="shared" si="13"/>
        <v>2040933.4735812133</v>
      </c>
      <c r="H16" s="218">
        <f t="shared" si="13"/>
        <v>1921054.1878669274</v>
      </c>
      <c r="I16" s="219">
        <f t="shared" si="13"/>
        <v>1700399.9021526419</v>
      </c>
      <c r="J16" s="281"/>
      <c r="K16" s="217">
        <f t="shared" si="13"/>
        <v>2612540.1354207424</v>
      </c>
      <c r="L16" s="218">
        <f t="shared" si="13"/>
        <v>4708578.3770782761</v>
      </c>
      <c r="M16" s="218">
        <f t="shared" si="13"/>
        <v>7938767.3172970423</v>
      </c>
      <c r="N16" s="219">
        <f t="shared" si="13"/>
        <v>14003568.468445141</v>
      </c>
      <c r="P16" s="199"/>
      <c r="Q16" s="73" t="str">
        <f t="shared" si="6"/>
        <v>Total Assets</v>
      </c>
      <c r="R16" s="217">
        <f>E16</f>
        <v>2079188.0952380954</v>
      </c>
      <c r="S16" s="218">
        <f>I16</f>
        <v>1700399.9021526419</v>
      </c>
      <c r="T16" s="218">
        <f t="shared" si="9"/>
        <v>2612540.1354207424</v>
      </c>
      <c r="U16" s="218">
        <f t="shared" si="10"/>
        <v>4708578.3770782761</v>
      </c>
      <c r="V16" s="218">
        <f t="shared" si="11"/>
        <v>7938767.3172970423</v>
      </c>
      <c r="W16" s="219">
        <f t="shared" si="12"/>
        <v>14003568.468445141</v>
      </c>
      <c r="X16" s="200"/>
    </row>
    <row r="17" spans="1:24" x14ac:dyDescent="0.25">
      <c r="B17" s="199"/>
      <c r="I17" s="200"/>
      <c r="J17" s="281"/>
      <c r="K17" s="199"/>
      <c r="N17" s="200"/>
      <c r="P17" s="199"/>
      <c r="R17" s="199"/>
      <c r="W17" s="200"/>
      <c r="X17" s="200"/>
    </row>
    <row r="18" spans="1:24" x14ac:dyDescent="0.25">
      <c r="A18" s="69" t="s">
        <v>96</v>
      </c>
      <c r="B18" s="201"/>
      <c r="C18" s="202"/>
      <c r="D18" s="202"/>
      <c r="E18" s="202"/>
      <c r="F18" s="202"/>
      <c r="G18" s="202"/>
      <c r="H18" s="202"/>
      <c r="I18" s="203"/>
      <c r="J18" s="281"/>
      <c r="K18" s="201"/>
      <c r="L18" s="202"/>
      <c r="M18" s="202"/>
      <c r="N18" s="203"/>
      <c r="P18" s="199"/>
      <c r="Q18" s="69" t="str">
        <f t="shared" si="6"/>
        <v>Liabilities</v>
      </c>
      <c r="R18" s="201"/>
      <c r="S18" s="202"/>
      <c r="T18" s="202"/>
      <c r="U18" s="202"/>
      <c r="V18" s="202"/>
      <c r="W18" s="203"/>
      <c r="X18" s="200"/>
    </row>
    <row r="19" spans="1:24" x14ac:dyDescent="0.25">
      <c r="A19" s="83" t="s">
        <v>82</v>
      </c>
      <c r="B19" s="204">
        <f>Financing!B49</f>
        <v>0</v>
      </c>
      <c r="C19" s="70">
        <f>Financing!C49</f>
        <v>0</v>
      </c>
      <c r="D19" s="70">
        <f>Financing!D49</f>
        <v>0</v>
      </c>
      <c r="E19" s="70">
        <f>Financing!E49</f>
        <v>0</v>
      </c>
      <c r="F19" s="70">
        <f>Financing!F49</f>
        <v>0</v>
      </c>
      <c r="G19" s="70">
        <f>Financing!G49</f>
        <v>0</v>
      </c>
      <c r="H19" s="70">
        <f>Financing!H49</f>
        <v>0</v>
      </c>
      <c r="I19" s="205">
        <f>Financing!I49</f>
        <v>0</v>
      </c>
      <c r="J19" s="281"/>
      <c r="K19" s="204">
        <f>Financing!K49</f>
        <v>0</v>
      </c>
      <c r="L19" s="70">
        <f>Financing!L49</f>
        <v>0</v>
      </c>
      <c r="M19" s="70">
        <f>Financing!M49</f>
        <v>0</v>
      </c>
      <c r="N19" s="205">
        <f>Financing!N49</f>
        <v>0</v>
      </c>
      <c r="P19" s="199"/>
      <c r="Q19" s="83" t="str">
        <f t="shared" si="6"/>
        <v>Debt</v>
      </c>
      <c r="R19" s="204">
        <f>E19</f>
        <v>0</v>
      </c>
      <c r="S19" s="70">
        <f>I19</f>
        <v>0</v>
      </c>
      <c r="T19" s="70">
        <f t="shared" si="9"/>
        <v>0</v>
      </c>
      <c r="U19" s="70">
        <f t="shared" si="10"/>
        <v>0</v>
      </c>
      <c r="V19" s="70">
        <f t="shared" si="11"/>
        <v>0</v>
      </c>
      <c r="W19" s="205">
        <f t="shared" si="12"/>
        <v>0</v>
      </c>
      <c r="X19" s="200"/>
    </row>
    <row r="20" spans="1:24" ht="15.75" thickBot="1" x14ac:dyDescent="0.3">
      <c r="A20" s="83" t="str">
        <f>'Working Capital'!A32</f>
        <v>Accounts Payable</v>
      </c>
      <c r="B20" s="204">
        <f>'Working Capital'!B32</f>
        <v>0</v>
      </c>
      <c r="C20" s="70">
        <f>'Working Capital'!C32</f>
        <v>0</v>
      </c>
      <c r="D20" s="70">
        <f>'Working Capital'!D32</f>
        <v>0</v>
      </c>
      <c r="E20" s="70">
        <f>'Working Capital'!E32</f>
        <v>0</v>
      </c>
      <c r="F20" s="70">
        <f>'Working Capital'!F32</f>
        <v>37995.616438356163</v>
      </c>
      <c r="G20" s="70">
        <f>'Working Capital'!G32</f>
        <v>37995.616438356163</v>
      </c>
      <c r="H20" s="70">
        <f>'Working Capital'!H32</f>
        <v>37995.616438356163</v>
      </c>
      <c r="I20" s="205">
        <f>'Working Capital'!I32</f>
        <v>37995.616438356163</v>
      </c>
      <c r="J20" s="281"/>
      <c r="K20" s="204">
        <f>'Working Capital'!K32</f>
        <v>148816.30684931512</v>
      </c>
      <c r="L20" s="70">
        <f>'Working Capital'!L32</f>
        <v>268441.85950684937</v>
      </c>
      <c r="M20" s="70">
        <f>'Working Capital'!M32</f>
        <v>472879.26559561648</v>
      </c>
      <c r="N20" s="205">
        <f>'Working Capital'!N32</f>
        <v>850240.38104021945</v>
      </c>
      <c r="P20" s="199"/>
      <c r="Q20" s="83" t="str">
        <f t="shared" si="6"/>
        <v>Accounts Payable</v>
      </c>
      <c r="R20" s="204">
        <f>E20</f>
        <v>0</v>
      </c>
      <c r="S20" s="70">
        <f>I20</f>
        <v>37995.616438356163</v>
      </c>
      <c r="T20" s="70">
        <f t="shared" si="9"/>
        <v>148816.30684931512</v>
      </c>
      <c r="U20" s="70">
        <f t="shared" si="10"/>
        <v>268441.85950684937</v>
      </c>
      <c r="V20" s="70">
        <f t="shared" si="11"/>
        <v>472879.26559561648</v>
      </c>
      <c r="W20" s="205">
        <f t="shared" si="12"/>
        <v>850240.38104021945</v>
      </c>
      <c r="X20" s="200"/>
    </row>
    <row r="21" spans="1:24" ht="15.75" thickTop="1" x14ac:dyDescent="0.25">
      <c r="A21" s="73" t="s">
        <v>187</v>
      </c>
      <c r="B21" s="217">
        <f t="shared" ref="B21:N21" si="14">SUM(B19:B20)</f>
        <v>0</v>
      </c>
      <c r="C21" s="218">
        <f t="shared" si="14"/>
        <v>0</v>
      </c>
      <c r="D21" s="218">
        <f t="shared" si="14"/>
        <v>0</v>
      </c>
      <c r="E21" s="218">
        <f t="shared" si="14"/>
        <v>0</v>
      </c>
      <c r="F21" s="218">
        <f t="shared" si="14"/>
        <v>37995.616438356163</v>
      </c>
      <c r="G21" s="218">
        <f t="shared" si="14"/>
        <v>37995.616438356163</v>
      </c>
      <c r="H21" s="218">
        <f t="shared" si="14"/>
        <v>37995.616438356163</v>
      </c>
      <c r="I21" s="219">
        <f t="shared" si="14"/>
        <v>37995.616438356163</v>
      </c>
      <c r="J21" s="281"/>
      <c r="K21" s="217">
        <f t="shared" si="14"/>
        <v>148816.30684931512</v>
      </c>
      <c r="L21" s="218">
        <f t="shared" si="14"/>
        <v>268441.85950684937</v>
      </c>
      <c r="M21" s="218">
        <f t="shared" si="14"/>
        <v>472879.26559561648</v>
      </c>
      <c r="N21" s="219">
        <f t="shared" si="14"/>
        <v>850240.38104021945</v>
      </c>
      <c r="P21" s="199"/>
      <c r="Q21" s="73" t="str">
        <f t="shared" si="6"/>
        <v>Total Liabilities</v>
      </c>
      <c r="R21" s="217">
        <f>E21</f>
        <v>0</v>
      </c>
      <c r="S21" s="218">
        <f>I21</f>
        <v>37995.616438356163</v>
      </c>
      <c r="T21" s="218">
        <f t="shared" si="9"/>
        <v>148816.30684931512</v>
      </c>
      <c r="U21" s="218">
        <f t="shared" si="10"/>
        <v>268441.85950684937</v>
      </c>
      <c r="V21" s="218">
        <f t="shared" si="11"/>
        <v>472879.26559561648</v>
      </c>
      <c r="W21" s="219">
        <f t="shared" si="12"/>
        <v>850240.38104021945</v>
      </c>
      <c r="X21" s="200"/>
    </row>
    <row r="22" spans="1:24" ht="15.75" thickBot="1" x14ac:dyDescent="0.3">
      <c r="A22" s="36" t="s">
        <v>121</v>
      </c>
      <c r="B22" s="204">
        <f t="shared" ref="B22:I22" si="15">B16-B21</f>
        <v>416000</v>
      </c>
      <c r="C22" s="70">
        <f t="shared" si="15"/>
        <v>2332000</v>
      </c>
      <c r="D22" s="70">
        <f t="shared" si="15"/>
        <v>2219985.7142857141</v>
      </c>
      <c r="E22" s="70">
        <f t="shared" si="15"/>
        <v>2079188.0952380954</v>
      </c>
      <c r="F22" s="70">
        <f t="shared" si="15"/>
        <v>2074950.4761904757</v>
      </c>
      <c r="G22" s="70">
        <f t="shared" si="15"/>
        <v>2002937.857142857</v>
      </c>
      <c r="H22" s="70">
        <f t="shared" si="15"/>
        <v>1883058.5714285711</v>
      </c>
      <c r="I22" s="205">
        <f t="shared" si="15"/>
        <v>1662404.2857142857</v>
      </c>
      <c r="J22" s="281"/>
      <c r="K22" s="204">
        <f>K16-K21</f>
        <v>2463723.8285714271</v>
      </c>
      <c r="L22" s="70">
        <f>L16-L21</f>
        <v>4440136.5175714269</v>
      </c>
      <c r="M22" s="70">
        <f>M16-M21</f>
        <v>7465888.0517014256</v>
      </c>
      <c r="N22" s="205">
        <f>N16-N21</f>
        <v>13153328.087404922</v>
      </c>
      <c r="P22" s="199"/>
      <c r="Q22" s="36" t="str">
        <f>A22</f>
        <v>Equity Value</v>
      </c>
      <c r="R22" s="204">
        <f>E22</f>
        <v>2079188.0952380954</v>
      </c>
      <c r="S22" s="70">
        <f>I22</f>
        <v>1662404.2857142857</v>
      </c>
      <c r="T22" s="70">
        <f>K22</f>
        <v>2463723.8285714271</v>
      </c>
      <c r="U22" s="70">
        <f>L22</f>
        <v>4440136.5175714269</v>
      </c>
      <c r="V22" s="70">
        <f>M22</f>
        <v>7465888.0517014256</v>
      </c>
      <c r="W22" s="205">
        <f>N22</f>
        <v>13153328.087404922</v>
      </c>
      <c r="X22" s="200"/>
    </row>
    <row r="23" spans="1:24" ht="15.75" thickTop="1" x14ac:dyDescent="0.25">
      <c r="A23" s="73" t="s">
        <v>251</v>
      </c>
      <c r="B23" s="217">
        <f>B22+B21</f>
        <v>416000</v>
      </c>
      <c r="C23" s="218">
        <f t="shared" ref="C23:I23" si="16">C22+C21</f>
        <v>2332000</v>
      </c>
      <c r="D23" s="218">
        <f>D22+D21</f>
        <v>2219985.7142857141</v>
      </c>
      <c r="E23" s="218">
        <f t="shared" si="16"/>
        <v>2079188.0952380954</v>
      </c>
      <c r="F23" s="218">
        <f t="shared" si="16"/>
        <v>2112946.092628832</v>
      </c>
      <c r="G23" s="218">
        <f t="shared" si="16"/>
        <v>2040933.4735812133</v>
      </c>
      <c r="H23" s="218">
        <f t="shared" si="16"/>
        <v>1921054.1878669274</v>
      </c>
      <c r="I23" s="219">
        <f t="shared" si="16"/>
        <v>1700399.9021526419</v>
      </c>
      <c r="J23" s="281"/>
      <c r="K23" s="217">
        <f>K22+K21</f>
        <v>2612540.1354207424</v>
      </c>
      <c r="L23" s="218">
        <f>L22+L21</f>
        <v>4708578.3770782761</v>
      </c>
      <c r="M23" s="218">
        <f>M22+M21</f>
        <v>7938767.3172970423</v>
      </c>
      <c r="N23" s="219">
        <f>N22+N21</f>
        <v>14003568.468445141</v>
      </c>
      <c r="P23" s="199"/>
      <c r="Q23" s="73" t="s">
        <v>251</v>
      </c>
      <c r="R23" s="217">
        <f t="shared" ref="R23:W23" si="17">R22+R21</f>
        <v>2079188.0952380954</v>
      </c>
      <c r="S23" s="218">
        <f>S22+S21</f>
        <v>1700399.9021526419</v>
      </c>
      <c r="T23" s="218">
        <f t="shared" si="17"/>
        <v>2612540.1354207424</v>
      </c>
      <c r="U23" s="218">
        <f t="shared" si="17"/>
        <v>4708578.3770782761</v>
      </c>
      <c r="V23" s="218">
        <f t="shared" si="17"/>
        <v>7938767.3172970423</v>
      </c>
      <c r="W23" s="219">
        <f t="shared" si="17"/>
        <v>14003568.468445141</v>
      </c>
      <c r="X23" s="200"/>
    </row>
    <row r="24" spans="1:24" ht="15.75" thickBot="1" x14ac:dyDescent="0.3">
      <c r="A24" s="83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P24" s="136"/>
      <c r="Q24" s="137"/>
      <c r="R24" s="137"/>
      <c r="S24" s="137"/>
      <c r="T24" s="137"/>
      <c r="U24" s="137"/>
      <c r="V24" s="137"/>
      <c r="W24" s="137"/>
      <c r="X24" s="138"/>
    </row>
    <row r="25" spans="1:24" ht="15.75" thickTop="1" x14ac:dyDescent="0.25">
      <c r="B25" s="271"/>
      <c r="C25" s="271"/>
      <c r="D25" s="271"/>
      <c r="E25" s="271"/>
      <c r="F25" s="271"/>
      <c r="G25" s="271"/>
      <c r="H25" s="271"/>
      <c r="I25" s="271"/>
      <c r="K25" s="271"/>
      <c r="L25" s="271"/>
      <c r="M25" s="271"/>
      <c r="N25" s="271"/>
    </row>
  </sheetData>
  <mergeCells count="5">
    <mergeCell ref="B6:I6"/>
    <mergeCell ref="K6:N6"/>
    <mergeCell ref="B7:E7"/>
    <mergeCell ref="F7:I7"/>
    <mergeCell ref="R6:W6"/>
  </mergeCells>
  <conditionalFormatting sqref="B11:I16 K11:N16">
    <cfRule type="cellIs" dxfId="17" priority="31" operator="lessThan">
      <formula>0</formula>
    </cfRule>
  </conditionalFormatting>
  <conditionalFormatting sqref="B19:I21 K19:N21">
    <cfRule type="cellIs" dxfId="16" priority="30" operator="lessThan">
      <formula>0</formula>
    </cfRule>
  </conditionalFormatting>
  <conditionalFormatting sqref="B22:I22 K22:N22">
    <cfRule type="cellIs" dxfId="15" priority="33" operator="greaterThan">
      <formula>0</formula>
    </cfRule>
    <cfRule type="cellIs" dxfId="14" priority="34" operator="lessThan">
      <formula>0</formula>
    </cfRule>
    <cfRule type="cellIs" dxfId="13" priority="35" operator="lessThan">
      <formula>0</formula>
    </cfRule>
  </conditionalFormatting>
  <conditionalFormatting sqref="B23:I23 K23:N23">
    <cfRule type="cellIs" dxfId="12" priority="2" operator="lessThan">
      <formula>0</formula>
    </cfRule>
  </conditionalFormatting>
  <conditionalFormatting sqref="B24:N24">
    <cfRule type="cellIs" dxfId="11" priority="38" operator="lessThan">
      <formula>0</formula>
    </cfRule>
  </conditionalFormatting>
  <conditionalFormatting sqref="R11:W16">
    <cfRule type="cellIs" dxfId="10" priority="11" operator="lessThan">
      <formula>0</formula>
    </cfRule>
  </conditionalFormatting>
  <conditionalFormatting sqref="R19:W21">
    <cfRule type="cellIs" dxfId="9" priority="9" operator="lessThan">
      <formula>0</formula>
    </cfRule>
  </conditionalFormatting>
  <conditionalFormatting sqref="R22:W22">
    <cfRule type="cellIs" dxfId="8" priority="13" operator="greaterThan">
      <formula>0</formula>
    </cfRule>
    <cfRule type="cellIs" dxfId="7" priority="14" operator="lessThan">
      <formula>0</formula>
    </cfRule>
    <cfRule type="cellIs" dxfId="6" priority="15" operator="lessThan">
      <formula>0</formula>
    </cfRule>
  </conditionalFormatting>
  <conditionalFormatting sqref="R23:W26">
    <cfRule type="cellIs" dxfId="5" priority="1" operator="lessThan">
      <formula>0</formula>
    </cfRule>
  </conditionalFormatting>
  <pageMargins left="0.25" right="0.25" top="0.75" bottom="0.75" header="0.3" footer="0.3"/>
  <pageSetup paperSize="5" scale="5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>
      <selection activeCell="AD59" sqref="AD59"/>
    </sheetView>
  </sheetViews>
  <sheetFormatPr defaultColWidth="8.85546875" defaultRowHeight="15" x14ac:dyDescent="0.25"/>
  <sheetData/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12"/>
  <sheetViews>
    <sheetView topLeftCell="D1" workbookViewId="0">
      <selection activeCell="W52" sqref="W52"/>
    </sheetView>
  </sheetViews>
  <sheetFormatPr defaultColWidth="8.85546875" defaultRowHeight="15" x14ac:dyDescent="0.25"/>
  <cols>
    <col min="1" max="1" width="24.42578125" customWidth="1"/>
    <col min="2" max="9" width="11.85546875" customWidth="1"/>
    <col min="10" max="10" width="8.42578125" customWidth="1"/>
    <col min="11" max="14" width="11.85546875" customWidth="1"/>
    <col min="15" max="16" width="5.85546875" customWidth="1"/>
    <col min="17" max="17" width="27.140625" bestFit="1" customWidth="1"/>
    <col min="18" max="18" width="11.42578125" bestFit="1" customWidth="1"/>
    <col min="19" max="20" width="10.42578125" bestFit="1" customWidth="1"/>
    <col min="21" max="23" width="11.42578125" bestFit="1" customWidth="1"/>
  </cols>
  <sheetData>
    <row r="1" spans="1:23" ht="24" thickBot="1" x14ac:dyDescent="0.4">
      <c r="A1" s="33" t="s">
        <v>123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23" ht="15.75" thickTop="1" x14ac:dyDescent="0.25">
      <c r="A2" s="31" t="str">
        <f>SubHeader</f>
        <v>USD</v>
      </c>
      <c r="C2" s="28"/>
      <c r="D2" s="28"/>
    </row>
    <row r="4" spans="1:23" ht="19.5" x14ac:dyDescent="0.3">
      <c r="A4" s="35" t="s">
        <v>124</v>
      </c>
    </row>
    <row r="5" spans="1:23" x14ac:dyDescent="0.25">
      <c r="A5" s="31"/>
      <c r="B5" s="306" t="s">
        <v>166</v>
      </c>
      <c r="C5" s="307"/>
      <c r="D5" s="307"/>
      <c r="E5" s="307"/>
      <c r="F5" s="307"/>
      <c r="G5" s="307"/>
      <c r="H5" s="307"/>
      <c r="I5" s="308"/>
      <c r="J5" s="281"/>
      <c r="K5" s="309" t="s">
        <v>167</v>
      </c>
      <c r="L5" s="310"/>
      <c r="M5" s="310"/>
      <c r="N5" s="311"/>
      <c r="R5" s="329" t="s">
        <v>200</v>
      </c>
      <c r="S5" s="330"/>
      <c r="T5" s="330"/>
      <c r="U5" s="330"/>
      <c r="V5" s="330"/>
      <c r="W5" s="331"/>
    </row>
    <row r="6" spans="1:23" x14ac:dyDescent="0.25">
      <c r="A6" s="31"/>
      <c r="B6" s="312" t="s">
        <v>193</v>
      </c>
      <c r="C6" s="313"/>
      <c r="D6" s="313"/>
      <c r="E6" s="314"/>
      <c r="F6" s="315" t="s">
        <v>194</v>
      </c>
      <c r="G6" s="313"/>
      <c r="H6" s="313"/>
      <c r="I6" s="316"/>
      <c r="J6" s="281"/>
      <c r="K6" s="97" t="s">
        <v>135</v>
      </c>
      <c r="L6" s="98" t="s">
        <v>136</v>
      </c>
      <c r="M6" s="98" t="s">
        <v>137</v>
      </c>
      <c r="N6" s="99" t="s">
        <v>225</v>
      </c>
      <c r="R6" s="97" t="s">
        <v>193</v>
      </c>
      <c r="S6" s="98" t="s">
        <v>194</v>
      </c>
      <c r="T6" s="98" t="s">
        <v>135</v>
      </c>
      <c r="U6" s="98" t="s">
        <v>136</v>
      </c>
      <c r="V6" s="98" t="s">
        <v>137</v>
      </c>
      <c r="W6" s="99" t="s">
        <v>225</v>
      </c>
    </row>
    <row r="7" spans="1:23" x14ac:dyDescent="0.25">
      <c r="A7" s="51"/>
      <c r="B7" s="93">
        <f>StartDate</f>
        <v>43831</v>
      </c>
      <c r="C7" s="52">
        <f>EDATE(B7,3)</f>
        <v>43922</v>
      </c>
      <c r="D7" s="52">
        <f t="shared" ref="D7:I7" si="0">EDATE(C7,3)</f>
        <v>44013</v>
      </c>
      <c r="E7" s="52">
        <f t="shared" si="0"/>
        <v>44105</v>
      </c>
      <c r="F7" s="52">
        <f t="shared" si="0"/>
        <v>44197</v>
      </c>
      <c r="G7" s="52">
        <f t="shared" si="0"/>
        <v>44287</v>
      </c>
      <c r="H7" s="52">
        <f t="shared" si="0"/>
        <v>44378</v>
      </c>
      <c r="I7" s="89">
        <f t="shared" si="0"/>
        <v>44470</v>
      </c>
      <c r="J7" s="281"/>
      <c r="K7" s="93">
        <f>EDATE(I7,3)</f>
        <v>44562</v>
      </c>
      <c r="L7" s="52">
        <f t="shared" ref="L7:N7" si="1">EDATE(K7,12)</f>
        <v>44927</v>
      </c>
      <c r="M7" s="52">
        <f t="shared" si="1"/>
        <v>45292</v>
      </c>
      <c r="N7" s="96">
        <f t="shared" si="1"/>
        <v>45658</v>
      </c>
      <c r="R7" s="265">
        <f>B7</f>
        <v>43831</v>
      </c>
      <c r="S7" s="266">
        <f>F7</f>
        <v>44197</v>
      </c>
      <c r="T7" s="266">
        <f>K7</f>
        <v>44562</v>
      </c>
      <c r="U7" s="266">
        <f t="shared" ref="U7:W8" si="2">L7</f>
        <v>44927</v>
      </c>
      <c r="V7" s="266">
        <f t="shared" si="2"/>
        <v>45292</v>
      </c>
      <c r="W7" s="267">
        <f t="shared" si="2"/>
        <v>45658</v>
      </c>
    </row>
    <row r="8" spans="1:23" x14ac:dyDescent="0.25">
      <c r="A8" t="s">
        <v>97</v>
      </c>
      <c r="B8" s="204">
        <f>'Income Statement'!B12</f>
        <v>0</v>
      </c>
      <c r="C8" s="70">
        <f>'Income Statement'!C12</f>
        <v>0</v>
      </c>
      <c r="D8" s="70">
        <f>'Income Statement'!D12</f>
        <v>0</v>
      </c>
      <c r="E8" s="70">
        <f>'Income Statement'!E12</f>
        <v>0</v>
      </c>
      <c r="F8" s="70">
        <f>'Income Statement'!F12</f>
        <v>347409.99999999988</v>
      </c>
      <c r="G8" s="70">
        <f>'Income Statement'!G12</f>
        <v>347409.99999999988</v>
      </c>
      <c r="H8" s="70">
        <f>'Income Statement'!H12</f>
        <v>347409.99999999988</v>
      </c>
      <c r="I8" s="205">
        <f>'Income Statement'!I12</f>
        <v>347409.99999999988</v>
      </c>
      <c r="J8" s="281"/>
      <c r="K8" s="204">
        <f>'Income Statement'!K12</f>
        <v>3971203.1999999983</v>
      </c>
      <c r="L8" s="70">
        <f>'Income Statement'!L12</f>
        <v>6338514.7519999994</v>
      </c>
      <c r="M8" s="70">
        <f>'Income Statement'!M12</f>
        <v>9606071.2038399987</v>
      </c>
      <c r="N8" s="205">
        <f>'Income Statement'!N12</f>
        <v>14593817.394687995</v>
      </c>
      <c r="Q8" s="80" t="str">
        <f>A8</f>
        <v>Gross Profit</v>
      </c>
      <c r="R8" s="197">
        <f>SUM(B8:E8)</f>
        <v>0</v>
      </c>
      <c r="S8" s="81">
        <f>SUM(F8:I8)</f>
        <v>1389639.9999999995</v>
      </c>
      <c r="T8" s="81">
        <f>K8</f>
        <v>3971203.1999999983</v>
      </c>
      <c r="U8" s="81">
        <f t="shared" si="2"/>
        <v>6338514.7519999994</v>
      </c>
      <c r="V8" s="81">
        <f t="shared" si="2"/>
        <v>9606071.2038399987</v>
      </c>
      <c r="W8" s="198">
        <f t="shared" si="2"/>
        <v>14593817.394687995</v>
      </c>
    </row>
    <row r="9" spans="1:23" x14ac:dyDescent="0.25">
      <c r="A9" t="s">
        <v>100</v>
      </c>
      <c r="B9" s="204">
        <f>'Income Statement'!B16</f>
        <v>-84000</v>
      </c>
      <c r="C9" s="70">
        <f>'Income Statement'!C16</f>
        <v>-84000</v>
      </c>
      <c r="D9" s="70">
        <f>'Income Statement'!D16</f>
        <v>-111800</v>
      </c>
      <c r="E9" s="70">
        <f>'Income Statement'!E16</f>
        <v>-139600</v>
      </c>
      <c r="F9" s="70">
        <f>'Income Statement'!F16</f>
        <v>-3040.0000000001164</v>
      </c>
      <c r="G9" s="70">
        <f>'Income Statement'!G16</f>
        <v>-69065.000000000116</v>
      </c>
      <c r="H9" s="70">
        <f>'Income Statement'!H16</f>
        <v>-114240.00000000012</v>
      </c>
      <c r="I9" s="205">
        <f>'Income Statement'!I16</f>
        <v>-215015.00000000012</v>
      </c>
      <c r="J9" s="281"/>
      <c r="K9" s="204">
        <f>'Income Statement'!K16</f>
        <v>1091583.1999999983</v>
      </c>
      <c r="L9" s="70">
        <f>'Income Statement'!L16</f>
        <v>1993850.2519999994</v>
      </c>
      <c r="M9" s="70">
        <f>'Income Statement'!M16</f>
        <v>4059635.3788399985</v>
      </c>
      <c r="N9" s="205">
        <f>'Income Statement'!N16</f>
        <v>7617553.3809379954</v>
      </c>
      <c r="Q9" s="80" t="str">
        <f>A9</f>
        <v>EBITDA</v>
      </c>
      <c r="R9" s="197">
        <f>SUM(B9:E9)</f>
        <v>-419400</v>
      </c>
      <c r="S9" s="81">
        <f>SUM(F9:I9)</f>
        <v>-401360.00000000047</v>
      </c>
      <c r="T9" s="81">
        <f>K9</f>
        <v>1091583.1999999983</v>
      </c>
      <c r="U9" s="81">
        <f t="shared" ref="U9:W10" si="3">L9</f>
        <v>1993850.2519999994</v>
      </c>
      <c r="V9" s="81">
        <f t="shared" si="3"/>
        <v>4059635.3788399985</v>
      </c>
      <c r="W9" s="198">
        <f t="shared" si="3"/>
        <v>7617553.3809379954</v>
      </c>
    </row>
    <row r="10" spans="1:23" x14ac:dyDescent="0.25">
      <c r="A10" t="s">
        <v>117</v>
      </c>
      <c r="B10" s="204">
        <f>'Income Statement'!B19</f>
        <v>-84000</v>
      </c>
      <c r="C10" s="70">
        <f>'Income Statement'!C19</f>
        <v>-84000</v>
      </c>
      <c r="D10" s="70">
        <f>'Income Statement'!D19</f>
        <v>-112014.28571428571</v>
      </c>
      <c r="E10" s="70">
        <f>'Income Statement'!E19</f>
        <v>-140797.61904761905</v>
      </c>
      <c r="F10" s="70">
        <f>'Income Statement'!F19</f>
        <v>-4237.6190476191641</v>
      </c>
      <c r="G10" s="70">
        <f>'Income Statement'!G19</f>
        <v>-72012.61904761917</v>
      </c>
      <c r="H10" s="70">
        <f>'Income Statement'!H19</f>
        <v>-119879.28571428583</v>
      </c>
      <c r="I10" s="205">
        <f>'Income Statement'!I19</f>
        <v>-220654.28571428583</v>
      </c>
      <c r="J10" s="281"/>
      <c r="K10" s="204">
        <f>'Income Statement'!K19</f>
        <v>1068426.0571428554</v>
      </c>
      <c r="L10" s="70">
        <f>'Income Statement'!L19</f>
        <v>1968550.2519999994</v>
      </c>
      <c r="M10" s="70">
        <f>'Income Statement'!M19</f>
        <v>4034335.3788399985</v>
      </c>
      <c r="N10" s="205">
        <f>'Income Statement'!N19</f>
        <v>7583253.3809379954</v>
      </c>
      <c r="Q10" s="80" t="str">
        <f t="shared" ref="Q10:Q12" si="4">A10</f>
        <v>Operating Profit (EBIT)</v>
      </c>
      <c r="R10" s="197">
        <f t="shared" ref="R10:R12" si="5">SUM(B10:E10)</f>
        <v>-420811.90476190473</v>
      </c>
      <c r="S10" s="81">
        <f t="shared" ref="S10:S12" si="6">SUM(F10:I10)</f>
        <v>-416783.80952380999</v>
      </c>
      <c r="T10" s="81">
        <f t="shared" ref="T10:T12" si="7">K10</f>
        <v>1068426.0571428554</v>
      </c>
      <c r="U10" s="81">
        <f t="shared" si="3"/>
        <v>1968550.2519999994</v>
      </c>
      <c r="V10" s="81">
        <f t="shared" si="3"/>
        <v>4034335.3788399985</v>
      </c>
      <c r="W10" s="198">
        <f t="shared" si="3"/>
        <v>7583253.3809379954</v>
      </c>
    </row>
    <row r="11" spans="1:23" x14ac:dyDescent="0.25">
      <c r="A11" t="s">
        <v>116</v>
      </c>
      <c r="B11" s="204">
        <f>'Income Statement'!B22</f>
        <v>-84000</v>
      </c>
      <c r="C11" s="70">
        <f>'Income Statement'!C22</f>
        <v>-84000</v>
      </c>
      <c r="D11" s="70">
        <f>'Income Statement'!D22</f>
        <v>-112014.28571428571</v>
      </c>
      <c r="E11" s="70">
        <f>'Income Statement'!E22</f>
        <v>-140797.61904761905</v>
      </c>
      <c r="F11" s="70">
        <f>'Income Statement'!F22</f>
        <v>-4237.6190476191641</v>
      </c>
      <c r="G11" s="70">
        <f>'Income Statement'!G22</f>
        <v>-72012.61904761917</v>
      </c>
      <c r="H11" s="70">
        <f>'Income Statement'!H22</f>
        <v>-119879.28571428583</v>
      </c>
      <c r="I11" s="205">
        <f>'Income Statement'!I22</f>
        <v>-220654.28571428583</v>
      </c>
      <c r="J11" s="281"/>
      <c r="K11" s="204">
        <f>'Income Statement'!K22</f>
        <v>1068426.0571428554</v>
      </c>
      <c r="L11" s="70">
        <f>'Income Statement'!L22</f>
        <v>1968550.2519999994</v>
      </c>
      <c r="M11" s="70">
        <f>'Income Statement'!M22</f>
        <v>4034335.3788399985</v>
      </c>
      <c r="N11" s="205">
        <f>'Income Statement'!N22</f>
        <v>7583253.3809379954</v>
      </c>
      <c r="Q11" s="80" t="str">
        <f t="shared" si="4"/>
        <v>Profit before Tax</v>
      </c>
      <c r="R11" s="197">
        <f t="shared" si="5"/>
        <v>-420811.90476190473</v>
      </c>
      <c r="S11" s="81">
        <f t="shared" si="6"/>
        <v>-416783.80952380999</v>
      </c>
      <c r="T11" s="81">
        <f t="shared" si="7"/>
        <v>1068426.0571428554</v>
      </c>
      <c r="U11" s="81">
        <f t="shared" ref="U11:U12" si="8">L11</f>
        <v>1968550.2519999994</v>
      </c>
      <c r="V11" s="81">
        <f t="shared" ref="V11:V12" si="9">M11</f>
        <v>4034335.3788399985</v>
      </c>
      <c r="W11" s="198">
        <f t="shared" ref="W11:W12" si="10">N11</f>
        <v>7583253.3809379954</v>
      </c>
    </row>
    <row r="12" spans="1:23" x14ac:dyDescent="0.25">
      <c r="A12" t="s">
        <v>118</v>
      </c>
      <c r="B12" s="204">
        <f>'Income Statement'!B25</f>
        <v>-84000</v>
      </c>
      <c r="C12" s="70">
        <f>'Income Statement'!C25</f>
        <v>-84000</v>
      </c>
      <c r="D12" s="70">
        <f>'Income Statement'!D25</f>
        <v>-112014.28571428571</v>
      </c>
      <c r="E12" s="70">
        <f>'Income Statement'!E25</f>
        <v>-140797.61904761905</v>
      </c>
      <c r="F12" s="70">
        <f>'Income Statement'!F25</f>
        <v>-4237.6190476191641</v>
      </c>
      <c r="G12" s="70">
        <f>'Income Statement'!G25</f>
        <v>-72012.61904761917</v>
      </c>
      <c r="H12" s="70">
        <f>'Income Statement'!H25</f>
        <v>-119879.28571428583</v>
      </c>
      <c r="I12" s="205">
        <f>'Income Statement'!I25</f>
        <v>-220654.28571428583</v>
      </c>
      <c r="J12" s="281"/>
      <c r="K12" s="204">
        <f>'Income Statement'!K25</f>
        <v>801319.54285714147</v>
      </c>
      <c r="L12" s="70">
        <f>'Income Statement'!L25</f>
        <v>1476412.6889999995</v>
      </c>
      <c r="M12" s="70">
        <f>'Income Statement'!M25</f>
        <v>3025751.5341299986</v>
      </c>
      <c r="N12" s="205">
        <f>'Income Statement'!N25</f>
        <v>5687440.035703497</v>
      </c>
      <c r="Q12" s="80" t="str">
        <f t="shared" si="4"/>
        <v>Profit after Tax (Net Income)</v>
      </c>
      <c r="R12" s="197">
        <f t="shared" si="5"/>
        <v>-420811.90476190473</v>
      </c>
      <c r="S12" s="81">
        <f t="shared" si="6"/>
        <v>-416783.80952380999</v>
      </c>
      <c r="T12" s="81">
        <f t="shared" si="7"/>
        <v>801319.54285714147</v>
      </c>
      <c r="U12" s="81">
        <f t="shared" si="8"/>
        <v>1476412.6889999995</v>
      </c>
      <c r="V12" s="81">
        <f t="shared" si="9"/>
        <v>3025751.5341299986</v>
      </c>
      <c r="W12" s="198">
        <f t="shared" si="10"/>
        <v>5687440.035703497</v>
      </c>
    </row>
  </sheetData>
  <mergeCells count="5">
    <mergeCell ref="B5:I5"/>
    <mergeCell ref="K5:N5"/>
    <mergeCell ref="B6:E6"/>
    <mergeCell ref="F6:I6"/>
    <mergeCell ref="R5:W5"/>
  </mergeCells>
  <conditionalFormatting sqref="B8:I12 K8:N12">
    <cfRule type="cellIs" dxfId="4" priority="4" operator="lessThan">
      <formula>0</formula>
    </cfRule>
  </conditionalFormatting>
  <conditionalFormatting sqref="R8:W12">
    <cfRule type="cellIs" dxfId="3" priority="2" operator="lessThan">
      <formula>0</formula>
    </cfRule>
  </conditionalFormatting>
  <pageMargins left="0.25" right="0.25" top="0.75" bottom="0.75" header="0.3" footer="0.3"/>
  <pageSetup paperSize="5" scale="61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26"/>
  <sheetViews>
    <sheetView workbookViewId="0">
      <selection activeCell="N20" sqref="N20"/>
    </sheetView>
  </sheetViews>
  <sheetFormatPr defaultColWidth="8.85546875" defaultRowHeight="15" x14ac:dyDescent="0.25"/>
  <cols>
    <col min="1" max="1" width="29.42578125" customWidth="1"/>
    <col min="2" max="7" width="13.42578125" customWidth="1"/>
    <col min="8" max="8" width="17.140625" customWidth="1"/>
  </cols>
  <sheetData>
    <row r="1" spans="1:8" ht="24" thickBot="1" x14ac:dyDescent="0.4">
      <c r="A1" s="33" t="s">
        <v>205</v>
      </c>
      <c r="B1" s="33"/>
      <c r="C1" s="33"/>
      <c r="D1" s="33"/>
      <c r="E1" s="33"/>
      <c r="F1" s="33"/>
      <c r="G1" s="33"/>
      <c r="H1" s="33"/>
    </row>
    <row r="2" spans="1:8" ht="15.75" thickTop="1" x14ac:dyDescent="0.25">
      <c r="A2" s="31" t="str">
        <f>"DCF ("&amp;SubHeader&amp;")"</f>
        <v>DCF (USD)</v>
      </c>
    </row>
    <row r="4" spans="1:8" ht="19.5" x14ac:dyDescent="0.3">
      <c r="A4" s="32" t="s">
        <v>186</v>
      </c>
    </row>
    <row r="5" spans="1:8" ht="15.75" customHeight="1" x14ac:dyDescent="0.25">
      <c r="A5" t="s">
        <v>206</v>
      </c>
      <c r="B5" s="277">
        <v>0.15</v>
      </c>
    </row>
    <row r="6" spans="1:8" ht="15.75" customHeight="1" x14ac:dyDescent="0.25">
      <c r="A6" t="s">
        <v>211</v>
      </c>
      <c r="B6" s="277">
        <v>0.05</v>
      </c>
    </row>
    <row r="7" spans="1:8" ht="15.75" customHeight="1" x14ac:dyDescent="0.3">
      <c r="A7" s="35"/>
    </row>
    <row r="8" spans="1:8" ht="19.5" x14ac:dyDescent="0.3">
      <c r="A8" s="32" t="s">
        <v>213</v>
      </c>
    </row>
    <row r="9" spans="1:8" x14ac:dyDescent="0.25">
      <c r="B9" s="329" t="s">
        <v>200</v>
      </c>
      <c r="C9" s="330"/>
      <c r="D9" s="330"/>
      <c r="E9" s="330"/>
      <c r="F9" s="330"/>
      <c r="G9" s="331"/>
    </row>
    <row r="10" spans="1:8" x14ac:dyDescent="0.25">
      <c r="B10" s="97" t="s">
        <v>193</v>
      </c>
      <c r="C10" s="98" t="s">
        <v>194</v>
      </c>
      <c r="D10" s="98" t="s">
        <v>135</v>
      </c>
      <c r="E10" s="98" t="s">
        <v>136</v>
      </c>
      <c r="F10" s="98" t="s">
        <v>137</v>
      </c>
      <c r="G10" s="99" t="s">
        <v>225</v>
      </c>
    </row>
    <row r="11" spans="1:8" ht="15.75" thickBot="1" x14ac:dyDescent="0.3">
      <c r="B11" s="93">
        <f>'Cash Flow'!AB24</f>
        <v>43831</v>
      </c>
      <c r="C11" s="52">
        <f>'Cash Flow'!AC24</f>
        <v>44197</v>
      </c>
      <c r="D11" s="52">
        <f>'Cash Flow'!AD24</f>
        <v>44562</v>
      </c>
      <c r="E11" s="52">
        <f>'Cash Flow'!AE24</f>
        <v>44927</v>
      </c>
      <c r="F11" s="52">
        <f>'Cash Flow'!AF24</f>
        <v>45292</v>
      </c>
      <c r="G11" s="96">
        <f>'Cash Flow'!AG24</f>
        <v>45658</v>
      </c>
    </row>
    <row r="12" spans="1:8" ht="15.75" thickTop="1" x14ac:dyDescent="0.25">
      <c r="A12" s="237"/>
      <c r="B12" s="238"/>
      <c r="C12" s="239"/>
      <c r="D12" s="239"/>
      <c r="E12" s="239"/>
      <c r="F12" s="239"/>
      <c r="G12" s="240"/>
    </row>
    <row r="13" spans="1:8" x14ac:dyDescent="0.25">
      <c r="A13" s="220" t="s">
        <v>208</v>
      </c>
      <c r="B13" s="204">
        <f>'Income Statement'!R19</f>
        <v>-420811.90476190473</v>
      </c>
      <c r="C13" s="70">
        <f>'Income Statement'!S19</f>
        <v>-416783.80952380999</v>
      </c>
      <c r="D13" s="70">
        <f>'Income Statement'!T19</f>
        <v>1068426.0571428554</v>
      </c>
      <c r="E13" s="70">
        <f>'Income Statement'!U19</f>
        <v>1968550.2519999994</v>
      </c>
      <c r="F13" s="70">
        <f>'Income Statement'!V19</f>
        <v>4034335.3788399985</v>
      </c>
      <c r="G13" s="205">
        <f>'Income Statement'!W19</f>
        <v>7583253.3809379954</v>
      </c>
    </row>
    <row r="14" spans="1:8" x14ac:dyDescent="0.25">
      <c r="A14" s="199" t="s">
        <v>99</v>
      </c>
      <c r="B14" s="204">
        <f>'Income Statement'!R24</f>
        <v>0</v>
      </c>
      <c r="C14" s="70">
        <f>'Income Statement'!S24</f>
        <v>0</v>
      </c>
      <c r="D14" s="70">
        <f>'Income Statement'!T24</f>
        <v>-267106.51428571384</v>
      </c>
      <c r="E14" s="70">
        <f>'Income Statement'!U24</f>
        <v>-492137.56299999985</v>
      </c>
      <c r="F14" s="70">
        <f>'Income Statement'!V24</f>
        <v>-1008583.8447099996</v>
      </c>
      <c r="G14" s="205">
        <f>'Income Statement'!W24</f>
        <v>-1895813.3452344988</v>
      </c>
    </row>
    <row r="15" spans="1:8" x14ac:dyDescent="0.25">
      <c r="A15" s="199" t="s">
        <v>74</v>
      </c>
      <c r="B15" s="204">
        <f>('Income Statement'!R18)*-1</f>
        <v>1411.9047619047619</v>
      </c>
      <c r="C15" s="70">
        <f>('Income Statement'!S18)*-1</f>
        <v>15423.809523809523</v>
      </c>
      <c r="D15" s="70">
        <f>('Income Statement'!T18)*-1</f>
        <v>23157.142857142855</v>
      </c>
      <c r="E15" s="70">
        <f>('Income Statement'!U18)*-1</f>
        <v>25299.999999999996</v>
      </c>
      <c r="F15" s="70">
        <f>('Income Statement'!V18)*-1</f>
        <v>25299.999999999996</v>
      </c>
      <c r="G15" s="205">
        <f>('Income Statement'!W18)*-1</f>
        <v>34300</v>
      </c>
    </row>
    <row r="16" spans="1:8" x14ac:dyDescent="0.25">
      <c r="A16" s="199" t="s">
        <v>43</v>
      </c>
      <c r="B16" s="204">
        <f>'Capital Expenses'!R52</f>
        <v>29000</v>
      </c>
      <c r="C16" s="70">
        <f>'Capital Expenses'!S52</f>
        <v>98000</v>
      </c>
      <c r="D16" s="70">
        <f>'Capital Expenses'!T52</f>
        <v>3000</v>
      </c>
      <c r="E16" s="70">
        <f>'Capital Expenses'!U52</f>
        <v>15000</v>
      </c>
      <c r="F16" s="70">
        <f>'Capital Expenses'!V52</f>
        <v>0</v>
      </c>
      <c r="G16" s="205">
        <f>'Capital Expenses'!W52</f>
        <v>45000</v>
      </c>
    </row>
    <row r="17" spans="1:8" ht="15.75" thickBot="1" x14ac:dyDescent="0.3">
      <c r="A17" s="199" t="s">
        <v>188</v>
      </c>
      <c r="B17" s="204">
        <f>'Cash Flow'!R16</f>
        <v>0</v>
      </c>
      <c r="C17" s="70">
        <f>'Cash Flow'!S16</f>
        <v>-684611.50684931502</v>
      </c>
      <c r="D17" s="70">
        <f>'Cash Flow'!T16</f>
        <v>-1633936.0438356162</v>
      </c>
      <c r="E17" s="70">
        <f>'Cash Flow'!U16</f>
        <v>-1660350.6305753435</v>
      </c>
      <c r="F17" s="70">
        <f>'Cash Flow'!V16</f>
        <v>-2645635.5059375335</v>
      </c>
      <c r="G17" s="205">
        <f>'Cash Flow'!W16</f>
        <v>-4626105.264142029</v>
      </c>
    </row>
    <row r="18" spans="1:8" ht="16.5" thickTop="1" thickBot="1" x14ac:dyDescent="0.3">
      <c r="A18" s="278" t="s">
        <v>209</v>
      </c>
      <c r="B18" s="206">
        <v>0</v>
      </c>
      <c r="C18" s="71">
        <v>0</v>
      </c>
      <c r="D18" s="71">
        <v>0</v>
      </c>
      <c r="E18" s="71">
        <v>0</v>
      </c>
      <c r="F18" s="71">
        <v>0</v>
      </c>
      <c r="G18" s="207">
        <v>0</v>
      </c>
      <c r="H18" s="282" t="s">
        <v>212</v>
      </c>
    </row>
    <row r="19" spans="1:8" ht="15.75" thickTop="1" x14ac:dyDescent="0.25">
      <c r="A19" t="s">
        <v>207</v>
      </c>
      <c r="B19" s="204">
        <f>B13+B14+B15-B16+B17+B18</f>
        <v>-448400</v>
      </c>
      <c r="C19" s="70">
        <f t="shared" ref="C19:G19" si="0">C13+C14+C15-C16+C17+C18</f>
        <v>-1183971.5068493155</v>
      </c>
      <c r="D19" s="70">
        <f>D13+D14+D15-D16+D17+D18</f>
        <v>-812459.3581213319</v>
      </c>
      <c r="E19" s="70">
        <f t="shared" si="0"/>
        <v>-173637.94157534395</v>
      </c>
      <c r="F19" s="70">
        <f t="shared" si="0"/>
        <v>405416.02819246519</v>
      </c>
      <c r="G19" s="205">
        <f t="shared" si="0"/>
        <v>1050634.771561468</v>
      </c>
      <c r="H19" s="279">
        <f>G19*(1+B6)/(B5-B6)</f>
        <v>11031665.101395415</v>
      </c>
    </row>
    <row r="20" spans="1:8" x14ac:dyDescent="0.25">
      <c r="A20" s="303"/>
    </row>
    <row r="21" spans="1:8" x14ac:dyDescent="0.25">
      <c r="A21" s="303" t="s">
        <v>256</v>
      </c>
      <c r="B21" s="304">
        <f>1/POWER(1+$B5,1)</f>
        <v>0.86956521739130443</v>
      </c>
      <c r="C21" s="304">
        <f>1/POWER(1+$B5,2)</f>
        <v>0.7561436672967865</v>
      </c>
      <c r="D21" s="304">
        <f>1/POWER(1+$B5,3)</f>
        <v>0.65751623243198831</v>
      </c>
      <c r="E21" s="304">
        <f>1/POWER(1+$B5,4)</f>
        <v>0.57175324559303342</v>
      </c>
      <c r="F21" s="304">
        <f>1/POWER(1+$B5,5)</f>
        <v>0.49717673529828987</v>
      </c>
      <c r="G21" s="304">
        <f>1/POWER(1+$B5,6)</f>
        <v>0.43232759591155645</v>
      </c>
      <c r="H21" s="304">
        <f>1/POWER(1+$B5,6)</f>
        <v>0.43232759591155645</v>
      </c>
    </row>
    <row r="23" spans="1:8" x14ac:dyDescent="0.25">
      <c r="A23" s="303" t="s">
        <v>257</v>
      </c>
      <c r="B23" s="70">
        <f>B19*B21</f>
        <v>-389913.04347826092</v>
      </c>
      <c r="C23" s="70">
        <f t="shared" ref="C23:H23" si="1">C19*C21</f>
        <v>-895252.55716394377</v>
      </c>
      <c r="D23" s="70">
        <f t="shared" si="1"/>
        <v>-534205.21615604975</v>
      </c>
      <c r="E23" s="70">
        <f t="shared" si="1"/>
        <v>-99278.056653796419</v>
      </c>
      <c r="F23" s="70">
        <f t="shared" si="1"/>
        <v>201563.41733432928</v>
      </c>
      <c r="G23" s="70">
        <f t="shared" si="1"/>
        <v>454218.40497025679</v>
      </c>
      <c r="H23" s="70">
        <f t="shared" si="1"/>
        <v>4769293.2521876963</v>
      </c>
    </row>
    <row r="24" spans="1:8" x14ac:dyDescent="0.25">
      <c r="C24" s="252"/>
    </row>
    <row r="25" spans="1:8" ht="19.5" x14ac:dyDescent="0.3">
      <c r="A25" s="32" t="s">
        <v>214</v>
      </c>
    </row>
    <row r="26" spans="1:8" x14ac:dyDescent="0.25">
      <c r="A26" t="s">
        <v>215</v>
      </c>
      <c r="B26" s="271">
        <f>SUM(B23:H23)</f>
        <v>3506426.2010402316</v>
      </c>
    </row>
  </sheetData>
  <mergeCells count="1">
    <mergeCell ref="B9:G9"/>
  </mergeCells>
  <conditionalFormatting sqref="B13:G18">
    <cfRule type="cellIs" dxfId="2" priority="3" operator="lessThan">
      <formula>0</formula>
    </cfRule>
  </conditionalFormatting>
  <conditionalFormatting sqref="B19:H19">
    <cfRule type="cellIs" dxfId="1" priority="2" operator="lessThan">
      <formula>0</formula>
    </cfRule>
  </conditionalFormatting>
  <conditionalFormatting sqref="B23:H23">
    <cfRule type="cellIs" dxfId="0" priority="1" operator="lessThan">
      <formula>0</formula>
    </cfRule>
  </conditionalFormatting>
  <pageMargins left="0.25" right="0.25" top="0.75" bottom="0.75" header="0.3" footer="0.3"/>
  <pageSetup paperSize="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558C6BBCCE8449B307A17288D9B4A" ma:contentTypeVersion="0" ma:contentTypeDescription="Create a new document." ma:contentTypeScope="" ma:versionID="84373e08bfd9de1db920c152ffcbbc1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76ef529c39306168521fdb1fa67254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092118-65E9-4F32-A5FB-A8E1959188E9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5AF2F10-AAA6-44B3-ADD4-149C2EF3C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774D32-8E43-45CD-9D54-4E1820EC2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5</vt:i4>
      </vt:variant>
    </vt:vector>
  </HeadingPairs>
  <TitlesOfParts>
    <vt:vector size="25" baseType="lpstr">
      <vt:lpstr>Intro</vt:lpstr>
      <vt:lpstr>Revenues -&gt;</vt:lpstr>
      <vt:lpstr>Top-Down</vt:lpstr>
      <vt:lpstr>Bottom-Up</vt:lpstr>
      <vt:lpstr>Revenues</vt:lpstr>
      <vt:lpstr>Costs -&gt;</vt:lpstr>
      <vt:lpstr>COGS</vt:lpstr>
      <vt:lpstr>Payroll</vt:lpstr>
      <vt:lpstr>Other Operating Expenses</vt:lpstr>
      <vt:lpstr>Capital Expenses</vt:lpstr>
      <vt:lpstr>Total Expenses</vt:lpstr>
      <vt:lpstr>Working Capital</vt:lpstr>
      <vt:lpstr>Financing</vt:lpstr>
      <vt:lpstr>Statements -&gt;</vt:lpstr>
      <vt:lpstr>Cash Flow</vt:lpstr>
      <vt:lpstr>Income Statement</vt:lpstr>
      <vt:lpstr>Balance Sheet</vt:lpstr>
      <vt:lpstr>Other -&gt;</vt:lpstr>
      <vt:lpstr>Profiltability</vt:lpstr>
      <vt:lpstr>DCF Valuation</vt:lpstr>
      <vt:lpstr>COGSMethod</vt:lpstr>
      <vt:lpstr>CompanyName</vt:lpstr>
      <vt:lpstr>enter_here_date</vt:lpstr>
      <vt:lpstr>StartDate</vt:lpstr>
      <vt:lpstr>SubHeader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Hicks</dc:creator>
  <cp:lastModifiedBy>Ravi Chaudhary</cp:lastModifiedBy>
  <cp:lastPrinted>2025-11-11T09:05:31Z</cp:lastPrinted>
  <dcterms:created xsi:type="dcterms:W3CDTF">2016-09-21T09:09:40Z</dcterms:created>
  <dcterms:modified xsi:type="dcterms:W3CDTF">2026-09-03T12:42:43Z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0x01010024B558C6BBCCE8449B307A17288D9B4A</vt:lpwstr>
  </property>
</Properties>
</file>